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kptjGrngCPM5zstyWnB+YE7J9ES113z5Ofl8k2wgs8Zkfez/YSM6UqZoAWBceU1pjGHR0M8GBt4PeZqyLMNUVg==" workbookSaltValue="6BodI2B07y4C5Q5PhE8c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N13" i="2"/>
  <c r="T13" i="12"/>
  <c r="V11" i="11"/>
  <c r="BM12" i="11"/>
  <c r="BI15" i="11"/>
  <c r="BJ12"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H10" i="2"/>
  <c r="V9" i="16"/>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BU15" i="17"/>
  <c r="T15" i="16"/>
  <c r="T17" i="16"/>
  <c r="BM15" i="11"/>
  <c r="R17" i="20"/>
  <c r="R18" i="20" s="1"/>
  <c r="AP15" i="20"/>
  <c r="BJ15" i="11"/>
  <c r="BJ18" i="11" s="1"/>
  <c r="BH9" i="11"/>
  <c r="AP10" i="21"/>
  <c r="BK11" i="11"/>
  <c r="X11" i="17"/>
  <c r="BK9" i="11"/>
  <c r="BK12" i="11"/>
  <c r="P17" i="17"/>
  <c r="BG10" i="11"/>
  <c r="BL9" i="11"/>
  <c r="BF11" i="11"/>
  <c r="BE9" i="13"/>
  <c r="AL16" i="11"/>
  <c r="C16" i="6"/>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D20" i="12"/>
  <c r="R20" i="17"/>
  <c r="AG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F20" i="16"/>
  <c r="AG20" i="11"/>
  <c r="T20" i="11"/>
  <c r="M20" i="17"/>
  <c r="X20" i="16"/>
  <c r="AL20" i="17"/>
  <c r="AN20" i="21"/>
  <c r="AK20" i="11"/>
  <c r="I20" i="11"/>
  <c r="AC20" i="21"/>
  <c r="AS20" i="17"/>
  <c r="AQ20" i="16"/>
  <c r="S20" i="21"/>
  <c r="AF20" i="11"/>
  <c r="AT20" i="16"/>
  <c r="AT20" i="11"/>
  <c r="BG20" i="16"/>
  <c r="S20" i="16"/>
  <c r="AX20" i="16"/>
  <c r="P20" i="17"/>
  <c r="W20" i="16"/>
  <c r="AT20" i="20"/>
  <c r="AY20" i="11"/>
  <c r="W20" i="17"/>
  <c r="AA20" i="17"/>
  <c r="AM20" i="21"/>
  <c r="AC20" i="16"/>
  <c r="Q20" i="21"/>
  <c r="AA20" i="21"/>
  <c r="AJ20" i="11"/>
  <c r="Y20" i="21"/>
  <c r="Y20" i="16"/>
  <c r="AO20" i="21"/>
  <c r="N20" i="21"/>
  <c r="AE20" i="11"/>
  <c r="AM20" i="16"/>
  <c r="AP20" i="16"/>
  <c r="Q20" i="11"/>
  <c r="AG20" i="17"/>
  <c r="AI20" i="21"/>
  <c r="AS20" i="16"/>
  <c r="BS20" i="16"/>
  <c r="H20" i="12"/>
  <c r="AA20" i="11"/>
  <c r="AR20" i="17"/>
  <c r="N20" i="16"/>
  <c r="K20" i="21"/>
  <c r="L20" i="21"/>
  <c r="AI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L20" i="21"/>
  <c r="K20" i="12"/>
  <c r="AR20" i="16"/>
  <c r="T20" i="17"/>
  <c r="AB20" i="17"/>
  <c r="AU20" i="11"/>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<sst xmlns="http://schemas.openxmlformats.org/spreadsheetml/2006/main" count="2102" uniqueCount="918">
  <si>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</si>
  <si>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</si>
  <si>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</si>
  <si>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</si>
  <si>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</si>
  <si>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</si>
  <si>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</si>
  <si>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</si>
  <si>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</si>
  <si>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</si>
  <si>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</si>
  <si>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</si>
  <si>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</si>
  <si>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</si>
  <si>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</si>
  <si>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</si>
  <si>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</si>
  <si>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</si>
  <si>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</si>
  <si>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</si>
  <si>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</si>
  <si>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</si>
  <si>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</si>
  <si>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</si>
  <si>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</si>
  <si>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</si>
  <si>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</si>
  <si>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</si>
  <si>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</si>
  <si>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</si>
  <si>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</si>
  <si>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</si>
  <si>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</si>
  <si>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</si>
  <si>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</si>
  <si>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</si>
  <si>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</si>
  <si>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</si>
  <si>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</si>
  <si>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</si>
  <si>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</si>
  <si>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</si>
  <si>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</si>
  <si>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</si>
  <si>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</si>
  <si>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</si>
  <si>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</si>
  <si>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</si>
  <si>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</si>
  <si>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</si>
  <si>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</si>
  <si>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</si>
  <si>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</si>
  <si>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</si>
  <si>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</si>
  <si>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</si>
  <si>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</si>
  <si>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</si>
  <si>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</si>
  <si>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</si>
  <si>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</si>
  <si>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</si>
  <si>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</si>
  <si>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</si>
  <si>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</si>
  <si>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</si>
  <si>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</si>
  <si>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</si>
  <si>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</si>
  <si>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</si>
  <si>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</si>
  <si>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</si>
  <si>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</si>
  <si>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</si>
  <si>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</si>
  <si>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</si>
  <si>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</si>
  <si>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</si>
  <si>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</si>
  <si>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</si>
  <si>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</si>
  <si>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</si>
  <si>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</si>
  <si>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</si>
  <si>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</si>
  <si>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</si>
  <si>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</si>
  <si>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</si>
  <si>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</si>
  <si>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</si>
  <si>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</si>
  <si>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</si>
  <si>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</si>
  <si>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</si>
  <si>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</si>
  <si>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</si>
  <si>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</si>
  <si>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</si>
  <si>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</si>
  <si>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</si>
  <si>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</si>
  <si>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</si>
  <si>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</si>
  <si>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</si>
  <si>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</si>
  <si>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</si>
  <si>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</si>
  <si>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</si>
  <si>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</si>
  <si>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</si>
  <si>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</si>
  <si>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</si>
  <si>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</si>
  <si>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</si>
  <si>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</si>
  <si>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</si>
  <si>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</si>
  <si>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</si>
  <si>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</si>
  <si>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</si>
  <si>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</si>
  <si>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</si>
  <si>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</si>
  <si>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</si>
  <si>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</si>
  <si>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</si>
  <si>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</si>
  <si>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</si>
  <si>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</si>
  <si>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</si>
  <si>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</si>
  <si>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</si>
  <si>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</si>
  <si>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</si>
  <si>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</si>
  <si>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</si>
  <si>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</si>
  <si>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</si>
  <si>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</si>
  <si>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</si>
  <si>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</si>
  <si>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</si>
  <si>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</si>
  <si>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</si>
  <si>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</si>
  <si>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</si>
  <si>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</si>
  <si>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</si>
  <si>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</si>
  <si>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</si>
  <si>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</si>
  <si>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</si>
  <si>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</si>
  <si>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</si>
  <si>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</si>
  <si>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</si>
  <si>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</si>
  <si>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</si>
  <si>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</si>
  <si>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</si>
  <si>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</si>
  <si>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</si>
  <si>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</si>
  <si>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</si>
  <si>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</si>
  <si>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</si>
  <si>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</si>
  <si>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</si>
  <si>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</si>
  <si>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</si>
  <si>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</si>
  <si>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</si>
  <si>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</si>
  <si>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</si>
  <si>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</si>
  <si>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</si>
  <si>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</si>
  <si>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</si>
  <si>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</si>
  <si>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</si>
  <si>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</si>
  <si>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</si>
  <si>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</si>
  <si>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</si>
  <si>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</si>
  <si>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</si>
  <si>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</si>
  <si>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</si>
  <si>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</si>
  <si>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</si>
  <si>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</si>
  <si>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</si>
  <si>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</si>
  <si>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</si>
  <si>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</si>
  <si>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</si>
  <si>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</si>
  <si>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</si>
  <si>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</si>
  <si>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</si>
  <si>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</si>
  <si>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</si>
  <si>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</si>
  <si>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</si>
  <si>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</si>
  <si>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</si>
  <si>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</si>
  <si>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</si>
  <si>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</si>
  <si>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</si>
  <si>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</si>
  <si>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</si>
  <si>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</si>
  <si>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</si>
  <si>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</si>
  <si>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</si>
  <si>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</si>
  <si>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</si>
  <si>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</si>
  <si>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</si>
  <si>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</si>
  <si>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</si>
  <si>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</si>
  <si>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</si>
  <si>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</si>
  <si>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</si>
  <si>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</si>
  <si>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</si>
  <si>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</si>
  <si>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</si>
  <si>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</si>
  <si>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</si>
  <si>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</si>
  <si>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</si>
  <si>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</si>
  <si>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</si>
  <si>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</si>
  <si>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</si>
  <si>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</si>
  <si>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</si>
  <si>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</si>
  <si>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</si>
  <si>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</si>
  <si>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</si>
  <si>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</si>
  <si>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</si>
  <si>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</si>
  <si>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</si>
  <si>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</si>
  <si>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</si>
  <si>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</si>
  <si>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</si>
  <si>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</si>
  <si>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</si>
  <si>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</si>
  <si>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</si>
  <si>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</si>
  <si>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</si>
  <si>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</si>
  <si>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</si>
  <si>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</si>
  <si>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</si>
  <si>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</si>
  <si>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</si>
  <si>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</si>
  <si>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</si>
  <si>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</si>
  <si>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</si>
  <si>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</si>
  <si>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</si>
  <si>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</si>
  <si>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</si>
  <si>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</si>
  <si>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</si>
  <si>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</si>
  <si>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</si>
  <si>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</si>
  <si>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</si>
  <si>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</si>
  <si>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</si>
  <si>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</si>
  <si>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</si>
  <si>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</si>
  <si>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</si>
  <si>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</si>
  <si>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</si>
  <si>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</si>
  <si>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</si>
  <si>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</si>
  <si>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</si>
  <si>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</si>
  <si>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</si>
  <si>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</si>
  <si>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</si>
  <si>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</si>
  <si>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</si>
  <si>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</si>
  <si>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</si>
  <si>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</si>
  <si>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</si>
  <si>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</si>
  <si>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</si>
  <si>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</si>
  <si>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</si>
  <si>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</si>
  <si>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</si>
  <si>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</si>
  <si>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</si>
  <si>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</si>
  <si>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</si>
  <si>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</si>
  <si>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</si>
  <si>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</si>
  <si>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</si>
  <si>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</si>
  <si>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</si>
  <si>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</si>
  <si>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</si>
  <si>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</si>
  <si>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</si>
  <si>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</si>
  <si>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</si>
  <si>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</si>
  <si>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</si>
  <si>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</si>
  <si>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</si>
  <si>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</si>
  <si>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</si>
  <si>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</si>
  <si>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</si>
  <si>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</si>
  <si>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</si>
  <si>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</si>
  <si>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</si>
  <si>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</si>
  <si>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</si>
  <si>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</si>
  <si>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</si>
  <si>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</si>
  <si>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</si>
  <si>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</si>
  <si>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</si>
  <si>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</si>
  <si>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</si>
  <si>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</si>
  <si>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</si>
  <si>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</si>
  <si>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</si>
  <si>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</si>
  <si>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</si>
  <si>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</si>
  <si>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</si>
  <si>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</si>
  <si>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</si>
  <si>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</si>
  <si>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</si>
  <si>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</si>
  <si>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</si>
  <si>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</si>
  <si>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</si>
  <si>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</si>
  <si>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</si>
  <si>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</si>
  <si>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</si>
  <si>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</si>
  <si>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</si>
  <si>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</si>
  <si>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</si>
  <si>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</si>
  <si>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</si>
  <si>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</si>
  <si>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</si>
  <si>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</si>
  <si>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</si>
  <si>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</si>
  <si>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</si>
  <si>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</si>
  <si>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</si>
  <si>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</si>
  <si>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</si>
  <si>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</si>
  <si>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</si>
  <si>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</si>
  <si>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</si>
  <si>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</si>
  <si>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</si>
  <si>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</si>
  <si>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</si>
  <si>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</si>
  <si>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</si>
  <si>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</si>
  <si>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</si>
  <si>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</si>
  <si>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</si>
  <si>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</si>
  <si>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</si>
  <si>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</si>
  <si>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</si>
  <si>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</si>
  <si>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</si>
  <si>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</si>
  <si>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</si>
  <si>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</si>
  <si>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</si>
  <si>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</si>
  <si>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</si>
  <si>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</si>
  <si>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</si>
  <si>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</si>
  <si>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</si>
  <si>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</si>
  <si>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</si>
  <si>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</si>
  <si>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</si>
  <si>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</si>
  <si>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</si>
  <si>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</si>
  <si>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</si>
  <si>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</si>
  <si>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</si>
  <si>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</si>
  <si>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</si>
  <si>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</si>
  <si>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</si>
  <si>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</si>
  <si>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</si>
  <si>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</si>
  <si>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</si>
  <si>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</si>
  <si>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</si>
  <si>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</si>
  <si>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</si>
  <si>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</si>
  <si>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</si>
  <si>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</si>
  <si>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</si>
  <si>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</si>
  <si>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</si>
  <si>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</si>
  <si>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</si>
  <si>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</si>
  <si>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</si>
  <si>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</si>
  <si>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</si>
  <si>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</si>
  <si>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</si>
  <si>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</si>
  <si>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</si>
  <si>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</si>
  <si>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</si>
  <si>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</si>
  <si>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</si>
  <si>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</si>
  <si>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</si>
  <si>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</si>
  <si>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</si>
  <si>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</si>
  <si>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</si>
  <si>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</si>
  <si>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</si>
  <si>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</si>
  <si>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</si>
  <si>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</si>
  <si>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</si>
  <si>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</si>
  <si>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</si>
  <si>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</si>
  <si>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</si>
  <si>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</si>
  <si>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</si>
  <si>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</si>
  <si>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</si>
  <si>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</si>
  <si>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</si>
  <si>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</si>
  <si>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</si>
  <si>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</si>
  <si>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</si>
  <si>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</si>
  <si>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</si>
  <si>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</si>
  <si>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</si>
  <si>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</si>
  <si>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</si>
  <si>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</si>
  <si>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</si>
  <si>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</si>
  <si>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</si>
  <si>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</si>
  <si>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</si>
  <si>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</si>
  <si>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</si>
  <si>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</si>
  <si>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</si>
  <si>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</si>
  <si>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</si>
  <si>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</si>
  <si>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</si>
  <si>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</si>
  <si>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</si>
  <si>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</si>
  <si>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</si>
  <si>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</si>
  <si>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</si>
  <si>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</si>
  <si>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</si>
  <si>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</si>
  <si>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</si>
  <si>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</si>
  <si>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</si>
  <si>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</si>
  <si>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</si>
  <si>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</si>
  <si>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</si>
  <si>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</si>
  <si>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</si>
  <si>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</si>
  <si>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</si>
  <si>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</si>
  <si>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</si>
  <si>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</si>
  <si>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</si>
  <si>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</si>
  <si>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</si>
  <si>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</si>
  <si>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</si>
  <si>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</si>
  <si>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</si>
  <si>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</si>
  <si>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</si>
  <si>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</si>
  <si>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</si>
  <si>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</si>
  <si>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</si>
  <si>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</si>
  <si>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</si>
  <si>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</si>
  <si>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</si>
  <si>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</si>
  <si>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</si>
  <si>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</si>
  <si>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</si>
  <si>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</si>
  <si>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</si>
  <si>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</si>
  <si>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</si>
  <si>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</si>
  <si>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</si>
  <si>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</si>
  <si>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</si>
  <si>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</si>
  <si>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</si>
  <si>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</si>
  <si>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</si>
  <si>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</si>
  <si>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</si>
  <si>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</si>
  <si>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</si>
  <si>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</si>
  <si>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</si>
  <si>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</si>
  <si>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</si>
  <si>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</si>
  <si>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</si>
  <si>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</si>
  <si>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</si>
  <si>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</si>
  <si>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</si>
  <si>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</si>
  <si>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</si>
  <si>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</si>
  <si>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</si>
  <si>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</si>
  <si>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</si>
  <si>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</si>
  <si>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</si>
  <si>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</si>
  <si>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</si>
  <si>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</si>
  <si>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</si>
  <si>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</si>
  <si>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</si>
  <si>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</si>
  <si>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</si>
  <si>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</si>
  <si>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</si>
  <si>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</si>
  <si>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</si>
  <si>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</si>
  <si>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</si>
  <si>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</si>
  <si>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</si>
  <si>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</si>
  <si>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</si>
  <si>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</si>
  <si>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</si>
  <si>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</si>
  <si>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</si>
  <si>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</si>
  <si>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</si>
  <si>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</si>
  <si>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</si>
  <si>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</si>
  <si>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</si>
  <si>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</si>
  <si>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</si>
  <si>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</si>
  <si>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</si>
  <si>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</si>
  <si>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</si>
  <si>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</si>
  <si>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</si>
  <si>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</si>
  <si>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</si>
  <si>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</si>
  <si>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</si>
  <si>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</si>
  <si>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</si>
  <si>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</si>
  <si>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</si>
  <si>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</si>
  <si>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</si>
  <si>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</si>
  <si>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</si>
  <si>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</si>
  <si>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</si>
  <si>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</si>
  <si>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</si>
  <si>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</si>
  <si>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</si>
  <si>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</si>
  <si>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</si>
  <si>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</si>
  <si>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</si>
  <si>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</si>
  <si>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</si>
  <si>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</si>
  <si>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</si>
  <si>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</si>
  <si>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</si>
  <si>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</si>
  <si>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</si>
  <si>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</si>
  <si>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</si>
  <si>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</si>
  <si>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</si>
  <si>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</si>
  <si>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</si>
  <si>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</si>
  <si>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</si>
  <si>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</si>
  <si>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</si>
  <si>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</si>
  <si>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</si>
  <si>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</si>
  <si>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</si>
  <si>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</si>
  <si>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</si>
  <si>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</si>
  <si>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</si>
  <si>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</si>
  <si>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</si>
  <si>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</si>
  <si>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</si>
  <si>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</si>
  <si>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</si>
  <si>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</si>
  <si>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</si>
  <si>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</si>
  <si>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</si>
  <si>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</si>
  <si>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</si>
  <si>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</si>
  <si>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</si>
  <si>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</si>
  <si>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</si>
  <si>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</si>
  <si>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</si>
  <si>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</si>
  <si>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</si>
  <si>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</si>
  <si>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</si>
  <si>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</si>
  <si>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</si>
  <si>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</si>
  <si>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</si>
  <si>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</si>
  <si>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</si>
  <si>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</si>
  <si>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</si>
  <si>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</si>
  <si>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</si>
  <si>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</si>
  <si>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</si>
  <si>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</si>
  <si>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</si>
  <si>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</si>
  <si>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</si>
  <si>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</si>
  <si>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</si>
  <si>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</si>
  <si>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</si>
  <si>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</si>
  <si>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</si>
  <si>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</si>
  <si>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</si>
  <si>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</si>
  <si>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</si>
  <si>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</si>
  <si>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</si>
  <si>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</si>
  <si>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</si>
  <si>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</si>
  <si>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</si>
  <si>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</si>
  <si>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</si>
  <si>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</si>
  <si>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</si>
  <si>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</si>
  <si>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</si>
  <si>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</si>
  <si>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</si>
  <si>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</si>
  <si>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</si>
  <si>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</si>
  <si>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</si>
  <si>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</si>
  <si>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</si>
  <si>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</si>
  <si>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</si>
  <si>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</si>
  <si>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</si>
  <si>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</si>
  <si>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</si>
  <si>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</si>
  <si>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</si>
  <si>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</si>
  <si>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</si>
  <si>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</si>
  <si>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</si>
  <si>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</si>
  <si>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</si>
  <si>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</si>
  <si>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</si>
  <si>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</si>
  <si>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</si>
  <si>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</si>
  <si>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</si>
  <si>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</si>
  <si>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</si>
  <si>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</si>
  <si>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</si>
  <si>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</si>
  <si>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</si>
  <si>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</si>
  <si>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</si>
  <si>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</si>
  <si>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</si>
  <si>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</si>
  <si>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</si>
  <si>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</si>
  <si>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</si>
  <si>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</si>
  <si>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</si>
  <si>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</si>
  <si>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</si>
  <si>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</si>
  <si>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</si>
  <si>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</si>
  <si>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</si>
  <si>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</si>
  <si>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</si>
  <si>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</si>
  <si>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</si>
  <si>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</si>
  <si>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</si>
  <si>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</si>
  <si>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</si>
  <si>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</si>
  <si>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</si>
  <si>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</si>
  <si>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</si>
  <si>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</si>
  <si>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</si>
  <si>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</si>
  <si>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</si>
  <si>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</si>
  <si>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</si>
  <si>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</si>
  <si>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</si>
  <si>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</si>
  <si>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</si>
  <si>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</si>
  <si>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</si>
  <si>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</si>
  <si>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</si>
  <si>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</si>
  <si>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</si>
  <si>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</si>
  <si>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</si>
  <si>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</si>
  <si>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</si>
  <si>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</si>
  <si>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</si>
  <si>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</si>
  <si>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</si>
  <si>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</si>
  <si>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</si>
  <si>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</si>
  <si>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</si>
  <si>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</si>
  <si>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</si>
  <si>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</si>
  <si>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</si>
  <si>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</si>
  <si>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</si>
  <si>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</si>
  <si>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</si>
  <si>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</si>
  <si>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</si>
  <si>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</si>
  <si>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</si>
  <si>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</si>
  <si>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</si>
  <si>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</si>
  <si>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</si>
  <si>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</si>
  <si>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</si>
  <si>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</si>
  <si>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</si>
  <si>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</si>
  <si>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</si>
  <si>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</si>
  <si>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</si>
  <si>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</si>
  <si>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</si>
  <si>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</si>
  <si>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</si>
  <si>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</si>
  <si>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</si>
  <si>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</si>
  <si>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</si>
  <si>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</si>
  <si>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</si>
  <si>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</si>
  <si>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</si>
  <si>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</si>
  <si>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</si>
  <si>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</si>
  <si>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</si>
  <si>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</si>
  <si>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</si>
  <si>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</si>
  <si>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</si>
  <si>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</si>
  <si>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</si>
  <si>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</si>
  <si>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</si>
  <si>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</si>
  <si>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</si>
  <si>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</si>
  <si>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</si>
  <si>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</si>
  <si>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</si>
  <si>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</si>
  <si>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</si>
  <si>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</si>
  <si>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</si>
  <si>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</si>
  <si>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</si>
  <si>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</si>
  <si>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</si>
  <si>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</si>
  <si>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</si>
  <si>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</si>
  <si>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</si>
  <si>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</si>
  <si>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</si>
  <si>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</si>
  <si>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</si>
  <si>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</si>
  <si>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</si>
  <si>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</si>
  <si>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</si>
  <si>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</si>
  <si>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</si>
  <si>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</si>
  <si>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</si>
  <si>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</si>
  <si>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</si>
  <si>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</si>
  <si>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</si>
  <si>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</si>
  <si>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</si>
  <si>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</si>
  <si>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</si>
  <si>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</si>
  <si>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</si>
  <si>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</si>
  <si>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</si>
  <si>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</si>
  <si>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</si>
  <si>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</si>
  <si>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</si>
  <si>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</si>
  <si>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</si>
  <si>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</si>
  <si>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</si>
  <si>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</si>
  <si>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</si>
  <si>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</si>
  <si>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</si>
  <si>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</si>
  <si>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</si>
  <si>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</si>
  <si>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</si>
  <si>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</si>
  <si>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ALCALA LA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</si>
</sst>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xZyzwUd/p9bjsUjX8bDaEdh/lR2TAQJVQZStmtYAiIwK3DpJ4RrBbwKM8NKI4YUsqGOFMdudU4WkOSEltwwmA==" saltValue="jRnrdrauyQJYAWHgLSRQ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4</v>
      </c>
      <c r="F10" s="226">
        <f>IF(ISNUMBER(Datos!K10),Datos!K10," - ")</f>
        <v>0</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8.5106382978723402E-2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43.328638497652577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580</v>
      </c>
      <c r="D16" s="225">
        <f>IF(ISNUMBER(IF(D_I="SI",Datos!I16,Datos!I16+Datos!AC16)),IF(D_I="SI",Datos!I16,Datos!I16+Datos!AC16)," - ")</f>
        <v>580</v>
      </c>
      <c r="E16" s="226">
        <f>IF(ISNUMBER(IF(D_I="SI",Datos!J16,Datos!J16+Datos!AD16)),IF(D_I="SI",Datos!J16,Datos!J16+Datos!AD16)," - ")</f>
        <v>356</v>
      </c>
      <c r="F16" s="226">
        <f>IF(ISNUMBER(IF(D_I="SI",Datos!K16,Datos!K16+Datos!AE16)),IF(D_I="SI",Datos!K16,Datos!K16+Datos!AE16)," - ")</f>
        <v>271</v>
      </c>
      <c r="G16" s="1034" t="str">
        <f>IF(Datos!E16&lt;&gt;"",Datos!E16,Datos!D16)</f>
        <v>04</v>
      </c>
      <c r="H16" s="227">
        <f>IF(ISNUMBER(IF(D_I="SI",Datos!L16,Datos!L16+Datos!AF16)),IF(D_I="SI",Datos!L16,Datos!L16+Datos!AF16)," - ")</f>
        <v>665</v>
      </c>
      <c r="I16" s="1044" t="str">
        <f>IF(ISNUMBER(Datos!AS16/Datos!BM16),Datos!AS16/Datos!BM16," - ")</f>
        <v xml:space="preserve"> - </v>
      </c>
      <c r="J16" s="1045">
        <f>IF(ISNUMBER(Datos!BY16/Datos!CN16),Datos!BY16/Datos!CN16," - ")</f>
        <v>0</v>
      </c>
      <c r="K16" s="230">
        <f t="shared" si="3"/>
        <v>0.14655172413793102</v>
      </c>
      <c r="L16" s="1025">
        <f>IF(ISNUMBER(NºAsuntos!I16/NºAsuntos!G16),(NºAsuntos!I16/NºAsuntos!G16)*11," - ")</f>
        <v>26.992619926199261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12</v>
      </c>
      <c r="F17" s="226">
        <f>IF(ISNUMBER(IF(D_I="SI",Datos!K17,Datos!K17+Datos!AE17)),IF(D_I="SI",Datos!K17,Datos!K17+Datos!AE17)," - ")</f>
        <v>18</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-0.11764705882352941</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631</v>
      </c>
      <c r="D18" s="1049">
        <f>SUBTOTAL(9,D15:D17)</f>
        <v>631</v>
      </c>
      <c r="E18" s="1050">
        <f>SUBTOTAL(9,E15:E17)</f>
        <v>368</v>
      </c>
      <c r="F18" s="1050">
        <f>SUBTOTAL(9,F15:F17)</f>
        <v>289</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678</v>
      </c>
      <c r="D19" s="1071">
        <f>SUBTOTAL(9,D9:D18)</f>
        <v>678</v>
      </c>
      <c r="E19" s="1072">
        <f>SUBTOTAL(9,E9:E18)</f>
        <v>372</v>
      </c>
      <c r="F19" s="1072">
        <f>SUBTOTAL(9,F9:F18)</f>
        <v>289</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YLkBhpHIQQr0260qWnnbcmZOuxR50LGj3YPg8K0J7eKMTOwoqA4XZ7/0o1QCMXpzHZ9H8Nk5bz+QSxOSfHuw==" saltValue="iVedR41lWdtGb68LVPA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rByGHFP8J3F6L28xvkvjTlG6taw/+ZiRaciZceHpwHbjGSEPZXNIqfw589vfW1XJlivck6Vc7PzJvcm3l3S6g==" saltValue="gwEPFtQNWQWSxVijtNjf5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4</v>
      </c>
      <c r="K10" s="181">
        <v>0</v>
      </c>
      <c r="L10" s="181">
        <v>51</v>
      </c>
      <c r="M10" s="181">
        <v>0</v>
      </c>
      <c r="N10" s="181">
        <v>0</v>
      </c>
      <c r="O10" s="181">
        <v>0</v>
      </c>
      <c r="P10" s="181">
        <v>1</v>
      </c>
      <c r="Q10" s="181">
        <v>0</v>
      </c>
      <c r="R10" s="181">
        <v>9</v>
      </c>
      <c r="S10" s="181">
        <v>26</v>
      </c>
      <c r="T10" s="181">
        <v>18</v>
      </c>
      <c r="U10" s="181">
        <v>9</v>
      </c>
      <c r="V10" s="181">
        <v>35</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18</v>
      </c>
      <c r="BA10" s="129">
        <f t="shared" si="0"/>
        <v>9</v>
      </c>
      <c r="BB10" s="129">
        <f t="shared" si="0"/>
        <v>35</v>
      </c>
      <c r="BC10" s="125">
        <f t="shared" si="0"/>
        <v>9</v>
      </c>
      <c r="BD10" s="126">
        <f>IF(ISNUMBER(BA10/AZ10),BA10/AZ10," - ")</f>
        <v>0.5</v>
      </c>
      <c r="BE10" s="127">
        <f>IF(ISNUMBER(BB10/BA10),BB10/BA10, " - ")</f>
        <v>3.8888888888888888</v>
      </c>
      <c r="BF10" s="127">
        <f>IF(ISNUMBER(BC10/BA10),BC10/BA10, " - ")</f>
        <v>1</v>
      </c>
      <c r="BG10" s="196">
        <f>IF(ISNUMBER((AY10+AZ10)/BA10),(AY10+AZ10)/BA10," - ")</f>
        <v>4.8888888888888893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704</v>
      </c>
      <c r="J12" s="183">
        <v>260</v>
      </c>
      <c r="K12" s="183">
        <v>200</v>
      </c>
      <c r="L12" s="183">
        <v>764</v>
      </c>
      <c r="M12" s="183">
        <v>88</v>
      </c>
      <c r="N12" s="183">
        <v>67</v>
      </c>
      <c r="O12" s="181">
        <v>64</v>
      </c>
      <c r="P12" s="183">
        <v>123</v>
      </c>
      <c r="Q12" s="183">
        <v>6</v>
      </c>
      <c r="R12" s="183">
        <v>1193</v>
      </c>
      <c r="S12" s="183">
        <v>671</v>
      </c>
      <c r="T12" s="183">
        <v>358</v>
      </c>
      <c r="U12" s="183">
        <v>270</v>
      </c>
      <c r="V12" s="183">
        <v>759</v>
      </c>
      <c r="W12" s="183">
        <v>82</v>
      </c>
      <c r="X12" s="189">
        <v>112</v>
      </c>
      <c r="Y12" s="191">
        <v>42</v>
      </c>
      <c r="Z12" s="181">
        <v>46</v>
      </c>
      <c r="AA12" s="181">
        <v>13</v>
      </c>
      <c r="AB12" s="181">
        <v>75</v>
      </c>
      <c r="AC12" s="183">
        <v>0</v>
      </c>
      <c r="AD12" s="183">
        <v>0</v>
      </c>
      <c r="AE12" s="183">
        <v>0</v>
      </c>
      <c r="AF12" s="189">
        <v>0</v>
      </c>
      <c r="AG12" s="202">
        <v>63</v>
      </c>
      <c r="AH12" s="183">
        <v>54</v>
      </c>
      <c r="AI12" s="183">
        <v>36</v>
      </c>
      <c r="AJ12" s="203">
        <v>81</v>
      </c>
      <c r="AK12" s="182">
        <v>0</v>
      </c>
      <c r="AL12" s="183">
        <v>0</v>
      </c>
      <c r="AM12" s="183">
        <v>0</v>
      </c>
      <c r="AN12" s="189">
        <v>0</v>
      </c>
      <c r="AO12" s="259">
        <v>2</v>
      </c>
      <c r="AP12" s="155">
        <v>2</v>
      </c>
      <c r="AQ12" s="155">
        <v>2</v>
      </c>
      <c r="AR12" s="154">
        <v>2</v>
      </c>
      <c r="AS12" s="340" t="s">
        <v>802</v>
      </c>
      <c r="AT12" s="203"/>
      <c r="AU12" s="202"/>
      <c r="AV12" s="203"/>
      <c r="AW12" s="202"/>
      <c r="AX12" s="203"/>
      <c r="AY12" s="126">
        <f t="shared" si="1"/>
        <v>734</v>
      </c>
      <c r="AZ12" s="127">
        <f t="shared" si="1"/>
        <v>412</v>
      </c>
      <c r="BA12" s="127">
        <f t="shared" si="1"/>
        <v>306</v>
      </c>
      <c r="BB12" s="127">
        <f t="shared" si="1"/>
        <v>840</v>
      </c>
      <c r="BC12" s="125">
        <f>IF(ISNUMBER(X12),X12," - ")</f>
        <v>112</v>
      </c>
      <c r="BD12" s="126">
        <f t="shared" si="2"/>
        <v>0.74271844660194175</v>
      </c>
      <c r="BE12" s="127">
        <f t="shared" si="3"/>
        <v>2.7450980392156863</v>
      </c>
      <c r="BF12" s="127">
        <f t="shared" si="4"/>
        <v>0.36601307189542481</v>
      </c>
      <c r="BG12" s="196">
        <f t="shared" si="5"/>
        <v>3.7450980392156863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751</v>
      </c>
      <c r="J13" s="184">
        <f t="shared" si="6"/>
        <v>264</v>
      </c>
      <c r="K13" s="184">
        <f t="shared" si="6"/>
        <v>200</v>
      </c>
      <c r="L13" s="184">
        <f t="shared" si="6"/>
        <v>815</v>
      </c>
      <c r="M13" s="184">
        <f t="shared" si="6"/>
        <v>88</v>
      </c>
      <c r="N13" s="184">
        <f t="shared" si="6"/>
        <v>67</v>
      </c>
      <c r="O13" s="184">
        <f t="shared" si="6"/>
        <v>64</v>
      </c>
      <c r="P13" s="184">
        <f t="shared" si="6"/>
        <v>124</v>
      </c>
      <c r="Q13" s="184">
        <f t="shared" si="6"/>
        <v>6</v>
      </c>
      <c r="R13" s="184">
        <f t="shared" si="6"/>
        <v>1202</v>
      </c>
      <c r="S13" s="184">
        <f t="shared" si="6"/>
        <v>697</v>
      </c>
      <c r="T13" s="184">
        <f t="shared" si="6"/>
        <v>376</v>
      </c>
      <c r="U13" s="184">
        <f t="shared" si="6"/>
        <v>279</v>
      </c>
      <c r="V13" s="184">
        <f t="shared" si="6"/>
        <v>794</v>
      </c>
      <c r="W13" s="184">
        <f t="shared" si="6"/>
        <v>91</v>
      </c>
      <c r="X13" s="184">
        <f t="shared" si="6"/>
        <v>112</v>
      </c>
      <c r="Y13" s="184">
        <f t="shared" si="6"/>
        <v>42</v>
      </c>
      <c r="Z13" s="184">
        <f t="shared" si="6"/>
        <v>46</v>
      </c>
      <c r="AA13" s="184">
        <f t="shared" si="6"/>
        <v>13</v>
      </c>
      <c r="AB13" s="184">
        <f t="shared" si="6"/>
        <v>75</v>
      </c>
      <c r="AC13" s="184">
        <f t="shared" si="6"/>
        <v>0</v>
      </c>
      <c r="AD13" s="184">
        <f t="shared" si="6"/>
        <v>0</v>
      </c>
      <c r="AE13" s="184">
        <f t="shared" si="6"/>
        <v>0</v>
      </c>
      <c r="AF13" s="184">
        <f>SUBTOTAL(9,AF9:AF12)</f>
        <v>0</v>
      </c>
      <c r="AG13" s="184">
        <f t="shared" ref="AG13:AT13" si="7">SUBTOTAL(9,AG8:AG12)</f>
        <v>63</v>
      </c>
      <c r="AH13" s="184">
        <f t="shared" si="7"/>
        <v>54</v>
      </c>
      <c r="AI13" s="184">
        <f t="shared" si="7"/>
        <v>36</v>
      </c>
      <c r="AJ13" s="184">
        <f t="shared" si="7"/>
        <v>81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760</v>
      </c>
      <c r="AZ13" s="184">
        <f>SUBTOTAL(9,AZ8:AZ12)</f>
        <v>430</v>
      </c>
      <c r="BA13" s="184">
        <f>SUBTOTAL(9,BA8:BA12)</f>
        <v>315</v>
      </c>
      <c r="BB13" s="184">
        <f>SUBTOTAL(9,BB8:BB12)</f>
        <v>875</v>
      </c>
      <c r="BC13" s="184">
        <f>SUBTOTAL(9,BC8:BC12)</f>
        <v>121</v>
      </c>
      <c r="BD13" s="205">
        <f>IF(ISNUMBER(BA13/AZ13),BA13/AZ13," - ")</f>
        <v>0.73255813953488369</v>
      </c>
      <c r="BE13" s="206">
        <f>IF(ISNUMBER(BB13/BA13),BB13/BA13, " - ")</f>
        <v>2.7777777777777777</v>
      </c>
      <c r="BF13" s="206">
        <f>IF(ISNUMBER(BC13/BA13),BC13/BA13, " - ")</f>
        <v>0.38412698412698415</v>
      </c>
      <c r="BG13" s="207">
        <f>IF(ISNUMBER((AY13+AZ13)/BA13),(AY13+AZ13)/BA13," - ")</f>
        <v>3.7777777777777777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580</v>
      </c>
      <c r="J16" s="183">
        <v>356</v>
      </c>
      <c r="K16" s="183">
        <v>271</v>
      </c>
      <c r="L16" s="183">
        <v>665</v>
      </c>
      <c r="M16" s="183">
        <v>44</v>
      </c>
      <c r="N16" s="183">
        <v>210</v>
      </c>
      <c r="O16" s="181">
        <v>1</v>
      </c>
      <c r="P16" s="183">
        <v>14</v>
      </c>
      <c r="Q16" s="183">
        <v>4</v>
      </c>
      <c r="R16" s="183">
        <v>96</v>
      </c>
      <c r="S16" s="183">
        <v>866</v>
      </c>
      <c r="T16" s="183">
        <v>568</v>
      </c>
      <c r="U16" s="183">
        <v>577</v>
      </c>
      <c r="V16" s="183">
        <v>857</v>
      </c>
      <c r="W16" s="183">
        <v>71</v>
      </c>
      <c r="X16" s="189">
        <v>432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866</v>
      </c>
      <c r="AZ16" s="127">
        <f t="shared" si="9"/>
        <v>568</v>
      </c>
      <c r="BA16" s="127">
        <f t="shared" si="9"/>
        <v>577</v>
      </c>
      <c r="BB16" s="127">
        <f t="shared" si="9"/>
        <v>857</v>
      </c>
      <c r="BC16" s="125">
        <f>IF(ISNUMBER(W16),W16," - ")</f>
        <v>71</v>
      </c>
      <c r="BD16" s="126">
        <f t="shared" ref="BD16" si="11">IF(ISNUMBER(BA16/AZ16),BA16/AZ16," - ")</f>
        <v>1.0158450704225352</v>
      </c>
      <c r="BE16" s="127">
        <f t="shared" ref="BE16" si="12">IF(ISNUMBER(BB16/BA16),BB16/BA16, " - ")</f>
        <v>1.48526863084922</v>
      </c>
      <c r="BF16" s="127">
        <f t="shared" ref="BF16" si="13">IF(ISNUMBER(BC16/BA16),BC16/BA16, " - ")</f>
        <v>0.12305025996533796</v>
      </c>
      <c r="BG16" s="196">
        <f t="shared" si="10"/>
        <v>2.48526863084922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12</v>
      </c>
      <c r="K17" s="183">
        <v>18</v>
      </c>
      <c r="L17" s="183">
        <v>45</v>
      </c>
      <c r="M17" s="183">
        <v>5</v>
      </c>
      <c r="N17" s="183">
        <v>11</v>
      </c>
      <c r="O17" s="183">
        <v>0</v>
      </c>
      <c r="P17" s="183">
        <v>0</v>
      </c>
      <c r="Q17" s="183">
        <v>0</v>
      </c>
      <c r="R17" s="183">
        <v>0</v>
      </c>
      <c r="S17" s="183">
        <v>58</v>
      </c>
      <c r="T17" s="183">
        <v>38</v>
      </c>
      <c r="U17" s="183">
        <v>40</v>
      </c>
      <c r="V17" s="183">
        <v>56</v>
      </c>
      <c r="W17" s="183">
        <v>23</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58</v>
      </c>
      <c r="AZ17" s="129">
        <f t="shared" si="14"/>
        <v>38</v>
      </c>
      <c r="BA17" s="129">
        <f t="shared" si="14"/>
        <v>40</v>
      </c>
      <c r="BB17" s="129">
        <f t="shared" si="14"/>
        <v>56</v>
      </c>
      <c r="BC17" s="125">
        <f>IF(ISNUMBER(W17),W17," - ")</f>
        <v>23</v>
      </c>
      <c r="BD17" s="126">
        <f>IF(ISNUMBER(BA17/AZ17),BA17/AZ17," - ")</f>
        <v>1.0526315789473684</v>
      </c>
      <c r="BE17" s="127">
        <f>IF(ISNUMBER(BB17/BA17),BB17/BA17, " - ")</f>
        <v>1.4</v>
      </c>
      <c r="BF17" s="127">
        <f>IF(ISNUMBER(BC17/BA17),BC17/BA17, " - ")</f>
        <v>0.57499999999999996</v>
      </c>
      <c r="BG17" s="196">
        <f>IF(ISNUMBER((AY17+AZ17)/BA17),(AY17+AZ17)/BA17," - ")</f>
        <v>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631</v>
      </c>
      <c r="J18" s="184">
        <f t="shared" si="15"/>
        <v>368</v>
      </c>
      <c r="K18" s="184">
        <f t="shared" si="15"/>
        <v>289</v>
      </c>
      <c r="L18" s="184">
        <f t="shared" si="15"/>
        <v>710</v>
      </c>
      <c r="M18" s="184">
        <f t="shared" si="15"/>
        <v>49</v>
      </c>
      <c r="N18" s="184">
        <f t="shared" si="15"/>
        <v>221</v>
      </c>
      <c r="O18" s="184">
        <f t="shared" si="15"/>
        <v>1</v>
      </c>
      <c r="P18" s="184">
        <f t="shared" si="15"/>
        <v>14</v>
      </c>
      <c r="Q18" s="184">
        <f t="shared" si="15"/>
        <v>4</v>
      </c>
      <c r="R18" s="184">
        <f t="shared" si="15"/>
        <v>96</v>
      </c>
      <c r="S18" s="184">
        <f t="shared" si="15"/>
        <v>924</v>
      </c>
      <c r="T18" s="184">
        <f t="shared" si="15"/>
        <v>606</v>
      </c>
      <c r="U18" s="184">
        <f t="shared" si="15"/>
        <v>617</v>
      </c>
      <c r="V18" s="184">
        <f t="shared" si="15"/>
        <v>913</v>
      </c>
      <c r="W18" s="184">
        <f t="shared" si="15"/>
        <v>94</v>
      </c>
      <c r="X18" s="184">
        <f t="shared" si="15"/>
        <v>447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924</v>
      </c>
      <c r="AZ18" s="184">
        <f>SUBTOTAL(9,AZ14:AZ17)</f>
        <v>606</v>
      </c>
      <c r="BA18" s="184">
        <f>SUBTOTAL(9,BA14:BA17)</f>
        <v>617</v>
      </c>
      <c r="BB18" s="184">
        <f>SUBTOTAL(9,BB14:BB17)</f>
        <v>913</v>
      </c>
      <c r="BC18" s="184">
        <f>SUBTOTAL(9,BC14:BC17)</f>
        <v>94</v>
      </c>
      <c r="BD18" s="205">
        <f>IF(ISNUMBER(BA18/AZ18),BA18/AZ18," - ")</f>
        <v>1.0181518151815181</v>
      </c>
      <c r="BE18" s="206">
        <f>IF(ISNUMBER(BB18/BA18),BB18/BA18, " - ")</f>
        <v>1.4797406807131281</v>
      </c>
      <c r="BF18" s="206">
        <f>IF(ISNUMBER(BC18/BA18),BC18/BA18, " - ")</f>
        <v>0.15235008103727715</v>
      </c>
      <c r="BG18" s="207">
        <f>IF(ISNUMBER((AY18+AZ18)/BA18),(AY18+AZ18)/BA18," - ")</f>
        <v>2.4797406807131281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1382</v>
      </c>
      <c r="J19" s="134">
        <f t="shared" si="18"/>
        <v>632</v>
      </c>
      <c r="K19" s="134">
        <f t="shared" si="18"/>
        <v>489</v>
      </c>
      <c r="L19" s="134">
        <f t="shared" si="18"/>
        <v>1525</v>
      </c>
      <c r="M19" s="134">
        <f t="shared" si="18"/>
        <v>137</v>
      </c>
      <c r="N19" s="134">
        <f t="shared" si="18"/>
        <v>288</v>
      </c>
      <c r="O19" s="134">
        <f t="shared" si="18"/>
        <v>65</v>
      </c>
      <c r="P19" s="134">
        <f t="shared" si="18"/>
        <v>138</v>
      </c>
      <c r="Q19" s="134">
        <f t="shared" si="18"/>
        <v>10</v>
      </c>
      <c r="R19" s="134">
        <f t="shared" si="18"/>
        <v>1298</v>
      </c>
      <c r="S19" s="134">
        <f t="shared" si="18"/>
        <v>1621</v>
      </c>
      <c r="T19" s="134">
        <f t="shared" si="18"/>
        <v>982</v>
      </c>
      <c r="U19" s="134">
        <f t="shared" si="18"/>
        <v>896</v>
      </c>
      <c r="V19" s="134">
        <f t="shared" si="18"/>
        <v>1707</v>
      </c>
      <c r="W19" s="134">
        <f t="shared" si="18"/>
        <v>185</v>
      </c>
      <c r="X19" s="134">
        <f t="shared" si="18"/>
        <v>559</v>
      </c>
      <c r="Y19" s="134">
        <f t="shared" si="18"/>
        <v>42</v>
      </c>
      <c r="Z19" s="134">
        <f t="shared" si="18"/>
        <v>46</v>
      </c>
      <c r="AA19" s="134">
        <f t="shared" si="18"/>
        <v>13</v>
      </c>
      <c r="AB19" s="134">
        <f t="shared" si="18"/>
        <v>75</v>
      </c>
      <c r="AC19" s="134">
        <f t="shared" si="18"/>
        <v>0</v>
      </c>
      <c r="AD19" s="134">
        <f t="shared" si="18"/>
        <v>0</v>
      </c>
      <c r="AE19" s="134">
        <f t="shared" si="18"/>
        <v>0</v>
      </c>
      <c r="AF19" s="134">
        <f t="shared" si="18"/>
        <v>0</v>
      </c>
      <c r="AG19" s="134">
        <f t="shared" si="18"/>
        <v>63</v>
      </c>
      <c r="AH19" s="134">
        <f t="shared" si="18"/>
        <v>54</v>
      </c>
      <c r="AI19" s="134">
        <f t="shared" si="18"/>
        <v>36</v>
      </c>
      <c r="AJ19" s="134">
        <f t="shared" si="18"/>
        <v>81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1684</v>
      </c>
      <c r="AZ19" s="134">
        <f>SUBTOTAL(9,AZ9:AZ18)</f>
        <v>1036</v>
      </c>
      <c r="BA19" s="134">
        <f>SUBTOTAL(9,BA9:BA18)</f>
        <v>932</v>
      </c>
      <c r="BB19" s="134">
        <f>SUBTOTAL(9,BB9:BB18)</f>
        <v>1788</v>
      </c>
      <c r="BC19" s="135">
        <f>SUBTOTAL(9,BC9:BC18)</f>
        <v>215</v>
      </c>
      <c r="BD19" s="213">
        <f>IF(ISNUMBER(BA19/AZ19),BA19/AZ19," - ")</f>
        <v>0.89961389961389959</v>
      </c>
      <c r="BE19" s="210">
        <f>IF(ISNUMBER(BB19/BA19),BB19/BA19, " - ")</f>
        <v>1.9184549356223175</v>
      </c>
      <c r="BF19" s="210">
        <f>IF(ISNUMBER(BC19/BA19),BC19/BA19, " - ")</f>
        <v>0.23068669527896996</v>
      </c>
      <c r="BG19" s="135">
        <f>IF(ISNUMBER((AY19+AZ19)/BA19),(AY19+AZ19)/BA19," - ")</f>
        <v>2.9184549356223175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yrUl5NHMW3IjZp22C8Rwxi8hXbbAJ6g1jy3cmYMmReWxDLVqlQ99vSwOwDRbh1+ozA7RUnhHPczTpJaOrmViA==" saltValue="2Vl902lBBoRWKfIFnVyWy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cbjyi8Yp3lvUbK7Py8/0mKJioodu8bjHgMvCeMFtfEwt+/ZUCYGXt7F8EdTnXh3plXXw6EdWzH8EFvzQpcH4A==" saltValue="WqVtvAjmtkLuIrpgi0gM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51</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1193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0.69607843137254899</v>
      </c>
      <c r="BH12" s="260">
        <f>IF(ISNUMBER(((IF(J_V="SI",Datos!L12/Datos!K12,(Datos!L12+Datos!AB12)/(Datos!K12+Datos!AA12)))*11)/factor_trimestre),((IF(J_V="SI",Datos!L12/Datos!K12,(Datos!L12+Datos!AB12)/(Datos!K12+Datos!AA12)))*11)/factor_trimestre," - ")</f>
        <v>11.816901408450704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0.10873605947955391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51</v>
      </c>
      <c r="AG13" s="899">
        <f t="shared" si="1"/>
        <v>0</v>
      </c>
      <c r="AH13" s="899">
        <f t="shared" si="1"/>
        <v>75</v>
      </c>
      <c r="AI13" s="899">
        <f t="shared" si="1"/>
        <v>0</v>
      </c>
      <c r="AJ13" s="899">
        <f t="shared" si="1"/>
        <v>0</v>
      </c>
      <c r="AK13" s="899">
        <f t="shared" si="1"/>
        <v>0</v>
      </c>
      <c r="AL13" s="899">
        <f t="shared" si="1"/>
        <v>0</v>
      </c>
      <c r="AM13" s="899">
        <f t="shared" si="1"/>
        <v>1202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67</v>
      </c>
      <c r="BE13" s="899">
        <f t="shared" si="1"/>
        <v>0</v>
      </c>
      <c r="BF13" s="899">
        <f t="shared" si="1"/>
        <v>0</v>
      </c>
      <c r="BG13" s="899">
        <f>IF(ISNUMBER(Datos!K13/Datos!J13),Datos!K13/Datos!J13," - ")</f>
        <v>0.75757575757575757</v>
      </c>
      <c r="BH13" s="903">
        <f>IF(ISNUMBER(((Datos!L13/Datos!K13)*11)/factor_trimestre),((Datos!L13/Datos!K13)*11)/factor_trimestre," - ")</f>
        <v>12.225000000000001</v>
      </c>
      <c r="BI13" s="899">
        <f>IF(ISNUMBER('Resol  Asuntos'!D13/NºAsuntos!G13),'Resol  Asuntos'!D13/NºAsuntos!G13," - ")</f>
        <v>0.41314553990610331</v>
      </c>
      <c r="BJ13" s="899" t="str">
        <f>IF(ISNUMBER(Datos!CI13/Datos!CJ13),Datos!CI13/Datos!CJ13," - ")</f>
        <v xml:space="preserve"> - </v>
      </c>
      <c r="BK13" s="899">
        <f>SUBTOTAL(9,BK8:BK12)</f>
        <v>0</v>
      </c>
      <c r="BL13" s="899">
        <f>IF(ISNUMBER((I13-AB13+L13)/(F13)),(I13-AB13+L13)/(F13)," - ")</f>
        <v>0</v>
      </c>
      <c r="BM13" s="904">
        <f>SUBTOTAL(9,BM9:BM12)</f>
        <v>0.23373605947955389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580</v>
      </c>
      <c r="G16" s="598">
        <f>IF(ISNUMBER(IF(D_I="SI",Datos!I16,Datos!I16+Datos!AC16)),IF(D_I="SI",Datos!I16,Datos!I16+Datos!AC16)," - ")</f>
        <v>580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271</v>
      </c>
      <c r="AC16" s="226">
        <f>IF(ISNUMBER(Datos!Q16),Datos!Q16," - ")</f>
        <v>4</v>
      </c>
      <c r="AD16" s="334"/>
      <c r="AE16" s="484"/>
      <c r="AF16" s="596">
        <f>IF(ISNUMBER(IF(D_I="SI",Datos!L16,Datos!L16+Datos!AF16)),IF(D_I="SI",Datos!L16,Datos!L16+Datos!AF16)," - ")</f>
        <v>665</v>
      </c>
      <c r="AG16" s="334"/>
      <c r="AH16" s="334"/>
      <c r="AI16" s="334"/>
      <c r="AJ16" s="334"/>
      <c r="AK16" s="334"/>
      <c r="AL16" s="479"/>
      <c r="AM16" s="335">
        <f>IF(ISNUMBER(Datos!R16),Datos!R16," - ")</f>
        <v>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210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0.7612359550561798</v>
      </c>
      <c r="BH16" s="260">
        <f>IF(ISNUMBER(((IF(D_I="SI",Datos!L16/Datos!K16,(Datos!L16+Datos!AF16)/(Datos!K16+Datos!AE16)))*11)/factor_trimestre),((IF(D_I="SI",Datos!L16/Datos!K16,(Datos!L16+Datos!AF16)/(Datos!K16+Datos!AE16)))*11)/factor_trimestre," - ")</f>
        <v>7.3616236162361623</v>
      </c>
      <c r="BI16" s="243">
        <f>IF(ISNUMBER('Resol  Asuntos'!D16/NºAsuntos!G16),'Resol  Asuntos'!D16/NºAsuntos!G16," - ")</f>
        <v>0.16236162361623616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45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7.5</v>
      </c>
      <c r="BI17" s="243">
        <f>IF(ISNUMBER('Resol  Asuntos'!D17/NºAsuntos!G17),'Resol  Asuntos'!D17/NºAsuntos!G17," - ")</f>
        <v>0.27777777777777779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580</v>
      </c>
      <c r="G18" s="898">
        <f>SUBTOTAL(9,G15:G17)</f>
        <v>631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289</v>
      </c>
      <c r="AC18" s="899">
        <f t="shared" si="4"/>
        <v>4</v>
      </c>
      <c r="AD18" s="899">
        <f t="shared" si="4"/>
        <v>0</v>
      </c>
      <c r="AE18" s="899">
        <f t="shared" si="4"/>
        <v>0</v>
      </c>
      <c r="AF18" s="899">
        <f t="shared" si="4"/>
        <v>710</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221</v>
      </c>
      <c r="BE18" s="899">
        <f t="shared" si="4"/>
        <v>0</v>
      </c>
      <c r="BF18" s="899">
        <f t="shared" si="4"/>
        <v>0</v>
      </c>
      <c r="BG18" s="899">
        <f>IF(ISNUMBER(Datos!K18/Datos!J18),Datos!K18/Datos!J18," - ")</f>
        <v>0.78532608695652173</v>
      </c>
      <c r="BH18" s="903">
        <f>IF(ISNUMBER(((Datos!L18/Datos!K18)*11)/factor_trimestre),((Datos!L18/Datos!K18)*11)/factor_trimestre," - ")</f>
        <v>7.3702422145328725</v>
      </c>
      <c r="BI18" s="899">
        <f>SUBTOTAL(9,BI15:BI17)</f>
        <v>0.44013940139401397</v>
      </c>
      <c r="BJ18" s="899">
        <f>SUBTOTAL(9,BJ15:BJ17)</f>
        <v>0</v>
      </c>
      <c r="BK18" s="899">
        <f>SUBTOTAL(9,BK15:BK17)</f>
        <v>0</v>
      </c>
      <c r="BL18" s="899">
        <f>IF(ISNUMBER((I18-AB18+L18)/(F18)),(I18-AB18+L18)/(F18)," - ")</f>
        <v>-0.49827586206896551</v>
      </c>
      <c r="BM18" s="905">
        <f>IF(ISNUMBER((Datos!P18-Datos!Q18)/(Datos!R18-Datos!P18+Datos!Q18)),(Datos!P18-Datos!Q18)/(Datos!R18-Datos!P18+Datos!Q18)," - ")</f>
        <v>0.11627906976744186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627</v>
      </c>
      <c r="G19" s="820">
        <f t="shared" si="6"/>
        <v>678</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289</v>
      </c>
      <c r="AC19" s="821">
        <f t="shared" si="7"/>
        <v>10</v>
      </c>
      <c r="AD19" s="821">
        <f t="shared" si="7"/>
        <v>0</v>
      </c>
      <c r="AE19" s="821">
        <f t="shared" si="7"/>
        <v>0</v>
      </c>
      <c r="AF19" s="828">
        <f t="shared" si="7"/>
        <v>761</v>
      </c>
      <c r="AG19" s="828">
        <f t="shared" si="7"/>
        <v>0</v>
      </c>
      <c r="AH19" s="828">
        <f t="shared" si="7"/>
        <v>75</v>
      </c>
      <c r="AI19" s="828">
        <f t="shared" si="7"/>
        <v>0</v>
      </c>
      <c r="AJ19" s="821">
        <f t="shared" si="7"/>
        <v>0</v>
      </c>
      <c r="AK19" s="828">
        <f t="shared" si="7"/>
        <v>0</v>
      </c>
      <c r="AL19" s="828">
        <f t="shared" si="7"/>
        <v>0</v>
      </c>
      <c r="AM19" s="828">
        <f t="shared" si="7"/>
        <v>1298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288</v>
      </c>
      <c r="BE19" s="820">
        <f t="shared" si="7"/>
        <v>0</v>
      </c>
      <c r="BF19" s="830">
        <f t="shared" si="7"/>
        <v>0</v>
      </c>
      <c r="BG19" s="915">
        <f>IF(ISNUMBER(Datos!K19/Datos!J19),Datos!K19/Datos!J19," - ")</f>
        <v>0.77373417721518989</v>
      </c>
      <c r="BH19" s="915">
        <f>IF(ISNUMBER(((Datos!L19/Datos!K19)*11)/factor_trimestre),((Datos!L19/Datos!K19)*11)/factor_trimestre," - ")</f>
        <v>9.3558282208588945</v>
      </c>
      <c r="BI19" s="813">
        <f>IF(ISNUMBER(Datos!J19/Datos!I19),Datos!J19/Datos!I19," - ")</f>
        <v>0.45730824891461652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-0.46092503987240829</v>
      </c>
      <c r="BM19" s="889">
        <f>IF(ISNUMBER((Datos!P19-Datos!Q19+R19)/(Datos!R19-Datos!P19+Datos!Q19-R19)),(Datos!P19-Datos!Q19+R19)/(Datos!R19-Datos!P19+Datos!Q19-R19)," - ")</f>
        <v>0.1094017094017094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307.72769347807053</v>
      </c>
      <c r="G21" s="552">
        <f>IF(ISNUMBER(STDEV(G8:G18)),STDEV(G8:G18),"-")</f>
        <v>305.70933907880539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150.39049172072015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38.307527545727439</v>
      </c>
      <c r="BD21" s="551"/>
      <c r="BE21" s="551">
        <f>IF(ISNUMBER(STDEV(BE8:BE18)),STDEV(BE8:BE18),"-")</f>
        <v>0</v>
      </c>
      <c r="BF21" s="556">
        <f>IF(ISNUMBER(STDEV(BF8:BF18)),STDEV(BF8:BF18),"-")</f>
        <v>0</v>
      </c>
      <c r="BG21" s="775">
        <f>IF(ISNUMBER(STDEV(BG8:BG18)),STDEV(BG8:BG18),"-")</f>
        <v>0.47525553105232538</v>
      </c>
      <c r="BH21" s="776">
        <f>IF(ISNUMBER(STDEV(BH8:BH18)),STDEV(BH8:BH18),"-")</f>
        <v>2.5298937508893249</v>
      </c>
      <c r="BI21" s="249">
        <f>IF(ISNUMBER(STDEV(BI8:BI18)),STDEV(BI8:BI18),"-")</f>
        <v>0.12870779293398285</v>
      </c>
      <c r="BJ21" s="230" t="str">
        <f>IF(ISNUMBER(BL21/BM21),BL21/BM21," - ")</f>
        <v xml:space="preserve"> - </v>
      </c>
      <c r="BK21" s="575"/>
      <c r="BL21" s="559">
        <f>IF(ISNUMBER(STDEV(BL8:BL18)),STDEV(BL8:BL18),"-")</f>
        <v>0.35233424097053834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LV0qCHJ2DcHzZruo442MPNb76AnNJsLp8s5cRU4TaPGl4j+eY/u+CV7du63v10W/086rSV5m0cmeoayjClGQ==" saltValue="yukMhzgIFBHtT/PeaciU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ALCALA LA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51</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1193</v>
      </c>
      <c r="AF12" s="229" t="str">
        <f>IF(ISNUMBER(Datos!BV12),Datos!BV12," - ")</f>
        <v xml:space="preserve"> - </v>
      </c>
      <c r="AG12" s="225" t="str">
        <f>IF(ISNUMBER(Datos!DV12),Datos!DV12," - ")</f>
        <v xml:space="preserve"> - </v>
      </c>
      <c r="AH12" s="298"/>
      <c r="AI12" s="227"/>
      <c r="AJ12" s="225">
        <f>IF(ISNUMBER(Datos!M12),Datos!M12," - ")</f>
        <v>88</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11.816901408450704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0.10873605947955391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124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51</v>
      </c>
      <c r="AB13" s="900">
        <f t="shared" si="2"/>
        <v>0</v>
      </c>
      <c r="AC13" s="900">
        <f t="shared" si="2"/>
        <v>0</v>
      </c>
      <c r="AD13" s="900">
        <f t="shared" si="2"/>
        <v>0</v>
      </c>
      <c r="AE13" s="900">
        <f t="shared" si="2"/>
        <v>1202</v>
      </c>
      <c r="AF13" s="908">
        <f t="shared" si="2"/>
        <v>0</v>
      </c>
      <c r="AG13" s="908">
        <f t="shared" si="2"/>
        <v>0</v>
      </c>
      <c r="AH13" s="908">
        <f t="shared" si="2"/>
        <v>0</v>
      </c>
      <c r="AI13" s="908">
        <f t="shared" si="2"/>
        <v>0</v>
      </c>
      <c r="AJ13" s="908">
        <f t="shared" si="2"/>
        <v>88</v>
      </c>
      <c r="AK13" s="908">
        <f t="shared" si="2"/>
        <v>67</v>
      </c>
      <c r="AL13" s="908">
        <f t="shared" si="2"/>
        <v>0</v>
      </c>
      <c r="AM13" s="908">
        <f t="shared" si="2"/>
        <v>0</v>
      </c>
      <c r="AN13" s="908">
        <f t="shared" si="2"/>
        <v>0</v>
      </c>
      <c r="AO13" s="904">
        <f>IF(ISNUMBER(((NºAsuntos!I13/NºAsuntos!G13)*11)/factor_trimestre),((NºAsuntos!I13/NºAsuntos!G13)*11)/factor_trimestre," - ")</f>
        <v>12.535211267605634</v>
      </c>
      <c r="AP13" s="910" t="str">
        <f>IF(ISNUMBER(Datos!CI13/Datos!CJ13),Datos!CI13/Datos!CJ13," - ")</f>
        <v xml:space="preserve"> - </v>
      </c>
      <c r="AQ13" s="928">
        <f t="shared" ref="AQ13:AV13" si="3">SUBTOTAL(9,AQ9:AQ12)</f>
        <v>0</v>
      </c>
      <c r="AR13" s="928">
        <f t="shared" si="3"/>
        <v>0.23373605947955389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580</v>
      </c>
      <c r="G16" s="225">
        <f>IF(ISNUMBER(IF(D_I="SI",Datos!I16,Datos!I16+Datos!AC16)),IF(D_I="SI",Datos!I16,Datos!I16+Datos!AC16)," - ")</f>
        <v>580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271</v>
      </c>
      <c r="Z16" s="619">
        <f>IF(ISNUMBER(Datos!Q16),Datos!Q16," - ")</f>
        <v>4</v>
      </c>
      <c r="AA16" s="332">
        <f>IF(ISNUMBER(IF(D_I="SI",Datos!L16,Datos!L16+Datos!AF16)),IF(D_I="SI",Datos!L16,Datos!L16+Datos!AF16)," - ")</f>
        <v>665</v>
      </c>
      <c r="AB16" s="334"/>
      <c r="AC16" s="334"/>
      <c r="AD16" s="484"/>
      <c r="AE16" s="484">
        <f>IF(ISNUMBER(Datos!R16),Datos!R16," - ")</f>
        <v>96</v>
      </c>
      <c r="AF16" s="229" t="str">
        <f>IF(ISNUMBER(Datos!BV16),Datos!BV16," - ")</f>
        <v xml:space="preserve"> - </v>
      </c>
      <c r="AG16" s="225"/>
      <c r="AH16" s="298"/>
      <c r="AI16" s="227"/>
      <c r="AJ16" s="225">
        <f>IF(ISNUMBER(Datos!M16),Datos!M16," - ")</f>
        <v>44</v>
      </c>
      <c r="AK16" s="229">
        <f>IF(ISNUMBER(Datos!N16),Datos!N16," - ")</f>
        <v>210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7.3616236162361623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45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580</v>
      </c>
      <c r="G18" s="898">
        <f>SUBTOTAL(9,G15:G17)</f>
        <v>631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289</v>
      </c>
      <c r="Z18" s="932">
        <f t="shared" si="5"/>
        <v>4</v>
      </c>
      <c r="AA18" s="932">
        <f t="shared" si="5"/>
        <v>710</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49</v>
      </c>
      <c r="AK18" s="932">
        <f t="shared" si="5"/>
        <v>221</v>
      </c>
      <c r="AL18" s="932">
        <f t="shared" si="5"/>
        <v>0</v>
      </c>
      <c r="AM18" s="932">
        <f t="shared" si="5"/>
        <v>0</v>
      </c>
      <c r="AN18" s="932">
        <f t="shared" si="5"/>
        <v>0</v>
      </c>
      <c r="AO18" s="934">
        <f>IF(ISNUMBER(((NºAsuntos!I18/NºAsuntos!G18)*11)/factor_trimestre),((NºAsuntos!I18/NºAsuntos!G18)*11)/factor_trimestre," - ")</f>
        <v>7.3702422145328725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627</v>
      </c>
      <c r="G19" s="820">
        <f t="shared" si="7"/>
        <v>678</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289</v>
      </c>
      <c r="Z19" s="827">
        <f t="shared" si="8"/>
        <v>10</v>
      </c>
      <c r="AA19" s="828">
        <f t="shared" si="8"/>
        <v>761</v>
      </c>
      <c r="AB19" s="828">
        <f t="shared" si="8"/>
        <v>0</v>
      </c>
      <c r="AC19" s="828">
        <f t="shared" si="8"/>
        <v>0</v>
      </c>
      <c r="AD19" s="829">
        <f t="shared" si="8"/>
        <v>0</v>
      </c>
      <c r="AE19" s="829">
        <f t="shared" si="8"/>
        <v>1298</v>
      </c>
      <c r="AF19" s="830">
        <f t="shared" si="8"/>
        <v>0</v>
      </c>
      <c r="AG19" s="831">
        <f t="shared" si="8"/>
        <v>0</v>
      </c>
      <c r="AH19" s="832">
        <f t="shared" si="8"/>
        <v>0</v>
      </c>
      <c r="AI19" s="830">
        <f t="shared" si="8"/>
        <v>0</v>
      </c>
      <c r="AJ19" s="820">
        <f t="shared" si="8"/>
        <v>137</v>
      </c>
      <c r="AK19" s="820">
        <f t="shared" si="8"/>
        <v>288</v>
      </c>
      <c r="AL19" s="820">
        <f t="shared" si="8"/>
        <v>0</v>
      </c>
      <c r="AM19" s="833">
        <f t="shared" si="8"/>
        <v>0</v>
      </c>
      <c r="AN19" s="823">
        <f>IF(ISNUMBER(Datos!K19/Datos!J19),Datos!K19/Datos!J19," - ")</f>
        <v>0.77373417721518989</v>
      </c>
      <c r="AO19" s="823">
        <f>IF(ISNUMBER(FIND("06",Criterios!A8,1)),(IF(ISNUMBER(((Datos!R19/Datos!Q19)*11)/factor_trimestre),((Datos!R19/Datos!Q19)*11)/factor_trimestre," - ")),(IF(ISNUMBER(((Datos!L19/Datos!K19)*11)/factor_trimestre),((Datos!L19/Datos!K19)*11)/factor_trimestre," - ")))</f>
        <v>9.3558282208588945</v>
      </c>
      <c r="AP19" s="834" t="str">
        <f>IF(ISNUMBER(Datos!CI19/Datos!CJ19),Datos!CI19/Datos!CJ19," - ")</f>
        <v xml:space="preserve"> - </v>
      </c>
      <c r="AQ19" s="834">
        <f>IF(OR(ISNUMBER(FIND("01",Criterios!A8,1)),ISNUMBER(FIND("02",Criterios!A8,1)),ISNUMBER(FIND("03",Criterios!A8,1)),ISNUMBER(FIND("04",Criterios!A8,1))),(J19-Y19+K19)/(F19-K19),(I19-Y19+K19)/(F19-K19))</f>
        <v>-0.46092503987240829</v>
      </c>
      <c r="AR19" s="834">
        <f>IF(ISNUMBER((Datos!P19-Datos!Q19+O19)/(Datos!R19-Datos!P19+Datos!Q19-O19)),(Datos!P19-Datos!Q19+O19)/(Datos!R19-Datos!P19+Datos!Q19-O19)," - ")</f>
        <v>0.1094017094017094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307.72769347807053</v>
      </c>
      <c r="G21" s="552">
        <f>IF(ISNUMBER(STDEV(G8:G18)),STDEV(G8:G18),"-")</f>
        <v>305.70933907880539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38.307527545727439</v>
      </c>
      <c r="AK21" s="252"/>
      <c r="AL21" s="252">
        <f>IF(ISNUMBER(STDEV(AL8:AL18)),STDEV(AL8:AL18),"-")</f>
        <v>0</v>
      </c>
      <c r="AM21" s="254">
        <f>IF(ISNUMBER(STDEV(AM8:AM18)),STDEV(AM8:AM18),"-")</f>
        <v>0</v>
      </c>
      <c r="AN21" s="539">
        <f>IF(ISNUMBER(STDEV(AN8:AN18)),STDEV(AN8:AN18),"-")</f>
        <v>0</v>
      </c>
      <c r="AO21" s="540">
        <f>IF(ISNUMBER(STDEV(AO8:AO18)),STDEV(AO8:AO18),"-")</f>
        <v>2.623034611079611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ihqLRfvi+7Z+AHuOEgtm1JIrKdZENdO2W++HBDdfL41wbWlDwdbgTbhBKeIoIb/jreh8LTmvlg5cu15fCpOw==" saltValue="h/qOuvk9Ozogfcyqymld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yqYiyhVbeBvTRJZnR8cTpif0NFqfr4xPn2I5Mi07xqO8FoEHXJhhYFZ6rR2MyHewb3CbDW51iwMmsYWI/lfwA==" saltValue="CilOd63MwpQ2FbrBz4HH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hMBFN7tSnHqt8Pbyq5ZUjxCoQxmOXyKU5Sj0aZL/EAh5fq2GVU+KpllO7eVBYuuF0Jbld0qR4Y+oyIPAv/6A==" saltValue="8QBucg+zdTbMZl/NpkSg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0.41314553990610331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0.29213801288458302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Co2woe5Fc+7ADcH3WpuPvJ09GViDKufz12A9IPkOWo8WpCOjnqNeG1TTU3CIa7v2NZk0DeLRWvjY5sqgyuZxw==" saltValue="IL4jjqk/vbh6xDZBNQ1R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sJoPjgIfbdwTogKsnalbz3sztG+HojdVi57kMc2H+4//A97XdAZ2sH9pyNI/wRy36lIWOQ3Bc8IYHShOTVFEw==" saltValue="usJXfNzSIo0waQ5Vr5/l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ALCALA LA REAL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4</v>
      </c>
      <c r="F10" s="404">
        <f>IF(ISNUMBER(E10/B10),E10/B10," - ")</f>
        <v>4</v>
      </c>
      <c r="G10" s="403">
        <f>IF(ISNUMBER(Datos!K10),Datos!K10," - ")</f>
        <v>0</v>
      </c>
      <c r="H10" s="404">
        <f>IF(ISNUMBER(G10/B10),G10/B10," - ")</f>
        <v>0</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746</v>
      </c>
      <c r="D12" s="404">
        <f>IF(ISNUMBER(C12/Datos!BH12),C12/Datos!BH12," - ")</f>
        <v>373</v>
      </c>
      <c r="E12" s="403">
        <f>IF(ISNUMBER(IF(J_V="SI",Datos!J12,Datos!J12+Datos!Z12)),IF(J_V="SI",Datos!J12,Datos!J12+Datos!Z12)," - ")</f>
        <v>306</v>
      </c>
      <c r="F12" s="404">
        <f>IF(ISNUMBER(E12/B12),E12/B12," - ")</f>
        <v>153</v>
      </c>
      <c r="G12" s="403">
        <f>IF(ISNUMBER(IF(J_V="SI",Datos!K12,Datos!K12+Datos!AA12)),IF(J_V="SI",Datos!K12,Datos!K12+Datos!AA12)," - ")</f>
        <v>213</v>
      </c>
      <c r="H12" s="404">
        <f>IF(ISNUMBER(G12/B12),G12/B12," - ")</f>
        <v>106.5</v>
      </c>
      <c r="I12" s="403">
        <f>IF(ISNUMBER(IF(J_V="SI",Datos!L12,Datos!L12+Datos!AB12)),IF(J_V="SI",Datos!L12,Datos!L12+Datos!AB12)," - ")</f>
        <v>839</v>
      </c>
      <c r="J12" s="404">
        <f>IF(ISNUMBER(I12/B12),I12/B12," - ")</f>
        <v>419.5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793</v>
      </c>
      <c r="D13" s="850" t="str">
        <f>IF(ISNUMBER(C13/Datos!BI13),C13/Datos!BI13," - ")</f>
        <v xml:space="preserve"> - </v>
      </c>
      <c r="E13" s="849">
        <f>SUBTOTAL(9,E8:E12)</f>
        <v>310</v>
      </c>
      <c r="F13" s="850">
        <f>IF(ISNUMBER(E13/B13),E13/B13," - ")</f>
        <v>155</v>
      </c>
      <c r="G13" s="849">
        <f>SUBTOTAL(9,G8:G12)</f>
        <v>213</v>
      </c>
      <c r="H13" s="850">
        <f>IF(ISNUMBER(G13/B13),G13/B13," - ")</f>
        <v>106.5</v>
      </c>
      <c r="I13" s="849">
        <f>SUBTOTAL(9,I8:I12)</f>
        <v>890</v>
      </c>
      <c r="J13" s="850">
        <f>IF(ISNUMBER(I13/B13),I13/B13," - ")</f>
        <v>445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580</v>
      </c>
      <c r="D16" s="404">
        <f>IF(ISNUMBER(C16/Datos!BH16),C16/Datos!BH16," - ")</f>
        <v>290</v>
      </c>
      <c r="E16" s="403">
        <f>IF(ISNUMBER(IF(D_I="SI",Datos!J16,Datos!J16+Datos!AD16)),IF(D_I="SI",Datos!J16,Datos!J16+Datos!AD16)," - ")</f>
        <v>356</v>
      </c>
      <c r="F16" s="404">
        <f>IF(ISNUMBER(E16/B16),E16/B16," - ")</f>
        <v>178</v>
      </c>
      <c r="G16" s="403">
        <f>IF(ISNUMBER(IF(D_I="SI",Datos!K16,Datos!K16+Datos!AE16)),IF(D_I="SI",Datos!K16,Datos!K16+Datos!AE16)," - ")</f>
        <v>271</v>
      </c>
      <c r="H16" s="404">
        <f>IF(ISNUMBER(G16/B16),G16/B16," - ")</f>
        <v>135.5</v>
      </c>
      <c r="I16" s="403">
        <f>IF(ISNUMBER(IF(D_I="SI",Datos!L16,Datos!L16+Datos!AF16)),IF(D_I="SI",Datos!L16,Datos!L16+Datos!AF16)," - ")</f>
        <v>665</v>
      </c>
      <c r="J16" s="404">
        <f>IF(ISNUMBER(I16/B16),I16/B16," - ")</f>
        <v>332.5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12</v>
      </c>
      <c r="F17" s="404">
        <f>IF(ISNUMBER(E17/B17),E17/B17," - ")</f>
        <v>12</v>
      </c>
      <c r="G17" s="403">
        <f>IF(ISNUMBER(IF(D_I="SI",Datos!K17,Datos!K17+Datos!AE17)),IF(D_I="SI",Datos!K17,Datos!K17+Datos!AE17)," - ")</f>
        <v>18</v>
      </c>
      <c r="H17" s="404">
        <f>IF(ISNUMBER(G17/B17),G17/B17," - ")</f>
        <v>18</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631</v>
      </c>
      <c r="D18" s="850" t="str">
        <f>IF(ISNUMBER(C18/Datos!BI18),C18/Datos!BI18," - ")</f>
        <v xml:space="preserve"> - </v>
      </c>
      <c r="E18" s="849">
        <f>SUBTOTAL(9,E14:E17)</f>
        <v>368</v>
      </c>
      <c r="F18" s="850">
        <f>IF(ISNUMBER(E18/B18),E18/B18," - ")</f>
        <v>184</v>
      </c>
      <c r="G18" s="849">
        <f>SUBTOTAL(9,G14:G17)</f>
        <v>289</v>
      </c>
      <c r="H18" s="850">
        <f>IF(ISNUMBER(G18/B18),G18/B18," - ")</f>
        <v>144.5</v>
      </c>
      <c r="I18" s="849">
        <f>SUBTOTAL(9,I14:I17)</f>
        <v>710</v>
      </c>
      <c r="J18" s="850">
        <f>IF(ISNUMBER(I18/B18),I18/B18," - ")</f>
        <v>355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1424</v>
      </c>
      <c r="D19" s="795" t="str">
        <f>IF(ISNUMBER(C19/Datos!BI19),C19/Datos!BI19," - ")</f>
        <v xml:space="preserve"> - </v>
      </c>
      <c r="E19" s="794">
        <f>SUBTOTAL(9,E9:E18)</f>
        <v>678</v>
      </c>
      <c r="F19" s="795">
        <f>IF(ISNUMBER(E19/B19),E19/B19," - ")</f>
        <v>339</v>
      </c>
      <c r="G19" s="794">
        <f>SUBTOTAL(9,G9:G18)</f>
        <v>502</v>
      </c>
      <c r="H19" s="795">
        <f>IF(ISNUMBER(G19/B19),G19/B19," - ")</f>
        <v>251</v>
      </c>
      <c r="I19" s="794">
        <f>SUBTOTAL(9,I9:I18)</f>
        <v>1600</v>
      </c>
      <c r="J19" s="795">
        <f>IF(ISNUMBER(I19/B19),I19/B19," - ")</f>
        <v>800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IFptKXgBL5H7+suC5VymxNlMPzXVYl2BEyGKl74hlBlUqn+k03FBFnnmR8lHOMOuAnEVJglZEWqrVrg7tjLjw==" saltValue="rpzBH/XjYYlJtt8qKjcP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ALCALA LA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11.816901408450704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0.10873605947955391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124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51</v>
      </c>
      <c r="AG13" s="939">
        <f t="shared" si="1"/>
        <v>0</v>
      </c>
      <c r="AH13" s="939">
        <f t="shared" si="1"/>
        <v>1193</v>
      </c>
      <c r="AI13" s="939">
        <f t="shared" si="1"/>
        <v>0</v>
      </c>
      <c r="AJ13" s="939">
        <f t="shared" si="1"/>
        <v>0</v>
      </c>
      <c r="AK13" s="939">
        <f t="shared" si="1"/>
        <v>0</v>
      </c>
      <c r="AL13" s="939">
        <f t="shared" si="1"/>
        <v>88</v>
      </c>
      <c r="AM13" s="939">
        <f t="shared" si="1"/>
        <v>67</v>
      </c>
      <c r="AN13" s="939">
        <f t="shared" si="1"/>
        <v>0</v>
      </c>
      <c r="AO13" s="939">
        <f t="shared" si="1"/>
        <v>0</v>
      </c>
      <c r="AP13" s="944">
        <f>IF(ISNUMBER(((Datos!L13/Datos!K13)*11)/factor_trimestre),((Datos!L13/Datos!K13)*11)/factor_trimestre," - ")</f>
        <v>12.225000000000001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0.10873605947955391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7.3702422145328725</v>
      </c>
      <c r="AQ18" s="944">
        <f>IF(ISNUMBER(((Datos!M18/Datos!L18)*11)/factor_trimestre),((Datos!M18/Datos!L18)*11)/factor_trimestre," - ")</f>
        <v>0.20704225352112679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0.11627906976744186</v>
      </c>
      <c r="AW18" s="946">
        <f>IF(ISNUMBER((Datos!Q18-Datos!R18)/(Datos!S18-Datos!Q18+Datos!R18)),(Datos!Q18-Datos!R18)/(Datos!S18-Datos!Q18+Datos!R18)," - ")</f>
        <v>-9.055118110236221E-2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124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51</v>
      </c>
      <c r="AG19" s="958">
        <f t="shared" si="5"/>
        <v>0</v>
      </c>
      <c r="AH19" s="958">
        <f t="shared" si="5"/>
        <v>1193</v>
      </c>
      <c r="AI19" s="958">
        <f t="shared" si="5"/>
        <v>0</v>
      </c>
      <c r="AJ19" s="959">
        <f t="shared" si="5"/>
        <v>0</v>
      </c>
      <c r="AK19" s="959">
        <f t="shared" si="5"/>
        <v>0</v>
      </c>
      <c r="AL19" s="951">
        <f t="shared" si="5"/>
        <v>88</v>
      </c>
      <c r="AM19" s="951">
        <f t="shared" si="5"/>
        <v>67</v>
      </c>
      <c r="AN19" s="951">
        <f t="shared" si="5"/>
        <v>0</v>
      </c>
      <c r="AO19" s="951">
        <f t="shared" si="5"/>
        <v>0</v>
      </c>
      <c r="AP19" s="951">
        <f>IF(ISNUMBER(((Datos!L19/Datos!K19)*11)/factor_trimestre),((Datos!L19/Datos!K19)*11)/factor_trimestre," - ")</f>
        <v>9.3558282208588945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0.1094017094017094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50.806823688687068</v>
      </c>
      <c r="AM21" s="736"/>
      <c r="AN21" s="736">
        <f>IF(ISNUMBER(STDEV(AN8:AN18)),STDEV(AN8:AN18),"-")</f>
        <v>0</v>
      </c>
      <c r="AO21" s="742">
        <f>IF(ISNUMBER(STDEV(AO8:AO18)),STDEV(AO8:AO18),"-")</f>
        <v>0</v>
      </c>
      <c r="AP21" s="779">
        <f>IF(ISNUMBER(STDEV(AP8:AP18)),STDEV(AP8:AP18),"-")</f>
        <v>2.692829849892501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nbGeLl+CeEtUg/NM26qljHg0eA+8TzR1H+XnmpCUk7b0PlRsUwmsLVd8HXe4m4UPVhaUsfDgAg3sDa5j7ER/g==" saltValue="eqT7pmgxUjMAfS62HSg+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ALCALA LA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ZZ4fkRWoCcwl5liVBsRYB+6ouhZ+txoPePuuyDmNU9elrZptUR7DSnCAzabWgVfyUvNLymAQbhMojIeVGNU2Q==" saltValue="sYQPxIB1P42RMwtXK54o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ALCALA LA REAL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88</v>
      </c>
      <c r="E12" s="404">
        <f t="shared" si="0"/>
        <v>44</v>
      </c>
      <c r="F12" s="403">
        <f>IF(ISNUMBER(Datos!N12),Datos!N12," - ")</f>
        <v>67</v>
      </c>
      <c r="G12" s="404">
        <f t="shared" si="1"/>
        <v>33.5</v>
      </c>
      <c r="H12" s="403">
        <f>IF(ISNUMBER(Datos!O12),Datos!O12," - ")</f>
        <v>64</v>
      </c>
      <c r="I12" s="404">
        <f t="shared" si="2"/>
        <v>32</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67</v>
      </c>
      <c r="G13" s="850">
        <f t="shared" si="1"/>
        <v>33.5</v>
      </c>
      <c r="H13" s="849">
        <f>SUBTOTAL(9,H9:H12)</f>
        <v>64</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210</v>
      </c>
      <c r="G16" s="404">
        <f t="shared" si="4"/>
        <v>105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221</v>
      </c>
      <c r="G18" s="850">
        <f t="shared" si="4"/>
        <v>110.5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137</v>
      </c>
      <c r="E19" s="795">
        <f>IF(ISNUMBER(D19/B19),D19/B19," - ")</f>
        <v>68.5</v>
      </c>
      <c r="F19" s="794">
        <f>SUBTOTAL(9,F8:F18)</f>
        <v>288</v>
      </c>
      <c r="G19" s="795">
        <f>IF(ISNUMBER(F19/B19),F19/B19," - ")</f>
        <v>144</v>
      </c>
      <c r="H19" s="794">
        <f>SUBTOTAL(9,H8:H18)</f>
        <v>65</v>
      </c>
      <c r="I19" s="795">
        <f>IF(ISNUMBER(H19/B19),H19/B19," - ")</f>
        <v>32.5</v>
      </c>
    </row>
    <row r="22" spans="1:78">
      <c r="A22" s="391" t="str">
        <f>Criterios!A4</f>
        <v>Fecha Informe: 27 feb. 2025</v>
      </c>
    </row>
    <row r="27" spans="1:78">
      <c r="A27" s="414"/>
    </row>
  </sheetData>
  <sheetProtection algorithmName="SHA-512" hashValue="/Tm/eG0+GtrdSDE2qVY/1NR8bAq5/e8uC7Q95slsV5g5PFbEhrV7E+QIyYpSDo+iEDMQhm2995xFeGyAHS6SEA==" saltValue="9psS0WcMGuGfLCC4NUq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ALCALA LA REAL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123</v>
      </c>
      <c r="C12" s="434">
        <f>IF(ISNUMBER(Datos!Q12),Datos!Q12," - ")</f>
        <v>6</v>
      </c>
      <c r="D12" s="408">
        <f>IF(ISNUMBER(Datos!R12),Datos!R12," - ")</f>
        <v>1193</v>
      </c>
    </row>
    <row r="13" spans="1:4" ht="14.25" thickTop="1" thickBot="1">
      <c r="A13" s="848" t="str">
        <f>Datos!A13</f>
        <v>TOTAL</v>
      </c>
      <c r="B13" s="849">
        <f>SUBTOTAL(9,B9:B12)</f>
        <v>124</v>
      </c>
      <c r="C13" s="853">
        <f>SUBTOTAL(9,C9:C12)</f>
        <v>6</v>
      </c>
      <c r="D13" s="851">
        <f>SUBTOTAL(9,D9:D12)</f>
        <v>1202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4</v>
      </c>
      <c r="D16" s="408">
        <f>IF(ISNUMBER(Datos!R16),Datos!R16," - ")</f>
        <v>96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4</v>
      </c>
      <c r="D18" s="851">
        <f>SUBTOTAL(9,D15:D17)</f>
        <v>96</v>
      </c>
    </row>
    <row r="19" spans="1:4" ht="16.5" customHeight="1" thickTop="1" thickBot="1">
      <c r="A19" s="793" t="str">
        <f>Datos!A19</f>
        <v>TOTAL JURISDICCIONES</v>
      </c>
      <c r="B19" s="798">
        <f>SUBTOTAL(9,B8:B18)</f>
        <v>138</v>
      </c>
      <c r="C19" s="799">
        <f>SUBTOTAL(9,C8:C18)</f>
        <v>10</v>
      </c>
      <c r="D19" s="800">
        <f>SUBTOTAL(9,D8:D18)</f>
        <v>1298</v>
      </c>
    </row>
    <row r="20" spans="1:4" ht="7.5" customHeight="1"/>
    <row r="21" spans="1:4" ht="6" customHeight="1"/>
    <row r="22" spans="1:4">
      <c r="A22" s="391" t="str">
        <f>Criterios!A4</f>
        <v>Fecha Informe: 27 feb. 2025</v>
      </c>
    </row>
    <row r="27" spans="1:4">
      <c r="A27" s="414"/>
    </row>
  </sheetData>
  <sheetProtection algorithmName="SHA-512" hashValue="piLvWMx0FgvVNeWI8FlVeiE4IClrXS9zgFlBL2C+pTJLlkVpt8ogY6+qeoKIg1bs+9Q2JxnFX3OmHiEjC4udzg==" saltValue="jNVEbEYXcBbsE7eX7iMM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ALCALA LA REAL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0.80769230769230771</v>
      </c>
      <c r="C10" s="456">
        <f>IF(ISNUMBER((Datos!J10-Datos!T10)/Datos!T10),(Datos!J10-Datos!T10)/Datos!T10," - ")</f>
        <v>-0.77777777777777779</v>
      </c>
      <c r="D10" s="456">
        <f>IF(ISNUMBER((Datos!K10-Datos!U10)/Datos!U10),(Datos!K10-Datos!U10)/Datos!U10," - ")</f>
        <v>-1</v>
      </c>
      <c r="E10" s="456">
        <f>IF(ISNUMBER((Datos!L10-Datos!V10)/Datos!V10),(Datos!L10-Datos!V10)/Datos!V10," - ")</f>
        <v>0.45714285714285713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1.6348773841961851E-2</v>
      </c>
      <c r="C12" s="456">
        <f>IF(ISNUMBER(
   IF(J_V="SI",(Datos!J12-Datos!T12)/Datos!T12,(Datos!J12+Datos!Z12-(Datos!T12+Datos!AH12))/(Datos!T12+Datos!AH12))
     ),IF(J_V="SI",(Datos!J12-Datos!T12)/Datos!T12,(Datos!J12+Datos!Z12-(Datos!T12+Datos!AH12))/(Datos!T12+Datos!AH12))," - ")</f>
        <v>-0.25728155339805825</v>
      </c>
      <c r="D12" s="456">
        <f>IF(ISNUMBER(
   IF(J_V="SI",(Datos!K12-Datos!U12)/Datos!U12,(Datos!K12+Datos!AA12-(Datos!U12+Datos!AI12))/(Datos!U12+Datos!AI12))
     ),IF(J_V="SI",(Datos!K12-Datos!U12)/Datos!U12,(Datos!K12+Datos!AA12-(Datos!U12+Datos!AI12))/(Datos!U12+Datos!AI12))," - ")</f>
        <v>-0.30392156862745096</v>
      </c>
      <c r="E12" s="456">
        <f>IF(ISNUMBER(
   IF(J_V="SI",(Datos!L12-Datos!V12)/Datos!V12,(Datos!L12+Datos!AB12-(Datos!V12+Datos!AJ12))/(Datos!V12+Datos!AJ12))
     ),IF(J_V="SI",(Datos!L12-Datos!V12)/Datos!V12,(Datos!L12+Datos!AB12-(Datos!V12+Datos!AJ12))/(Datos!V12+Datos!AJ12))," - ")</f>
        <v>-1.1904761904761906E-3</v>
      </c>
      <c r="F12" s="456">
        <f>IF(ISNUMBER((Datos!M12-Datos!W12)/Datos!W12),(Datos!M12-Datos!W12)/Datos!W12," - ")</f>
        <v>7.3170731707317069E-2</v>
      </c>
      <c r="G12" s="457">
        <f>IF(ISNUMBER((Datos!N12-Datos!X12)/Datos!X12),(Datos!N12-Datos!X12)/Datos!X12," - ")</f>
        <v>-0.4017857142857143</v>
      </c>
      <c r="H12" s="455">
        <f>IF(ISNUMBER(((NºAsuntos!G12/NºAsuntos!E12)-Datos!BD12)/Datos!BD12),((NºAsuntos!G12/NºAsuntos!E12)-Datos!BD12)/Datos!BD12," - ")</f>
        <v>-6.2796360374215085E-2</v>
      </c>
      <c r="I12" s="456">
        <f>IF(ISNUMBER(((NºAsuntos!I12/NºAsuntos!G12)-Datos!BE12)/Datos!BE12),((NºAsuntos!I12/NºAsuntos!G12)-Datos!BE12)/Datos!BE12," - ")</f>
        <v>0.43490945674044257</v>
      </c>
      <c r="J12" s="461">
        <f>IF(ISNUMBER((('Resol  Asuntos'!D12/NºAsuntos!G12)-Datos!BF12)/Datos!BF12),(('Resol  Asuntos'!D12/NºAsuntos!G12)-Datos!BF12)/Datos!BF12," - ")</f>
        <v>0.12877263581488949</v>
      </c>
      <c r="K12" s="462">
        <f>IF(ISNUMBER((((NºAsuntos!C12+NºAsuntos!E12)/NºAsuntos!G12)-Datos!BG12)/Datos!BG12),(((NºAsuntos!C12+NºAsuntos!E12)/NºAsuntos!G12)-Datos!BG12)/Datos!BG12," - ")</f>
        <v>0.31878180075215695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4.3421052631578951E-2</v>
      </c>
      <c r="C13" s="855">
        <f>IF(ISNUMBER(
   IF(J_V="SI",(Datos!J13-Datos!T13)/Datos!T13,(Datos!J13+Datos!Z13-(Datos!T13+Datos!AH13))/(Datos!T13+Datos!AH13))
     ),IF(J_V="SI",(Datos!J13-Datos!T13)/Datos!T13,(Datos!J13+Datos!Z13-(Datos!T13+Datos!AH13))/(Datos!T13+Datos!AH13))," - ")</f>
        <v>-0.27906976744186046</v>
      </c>
      <c r="D13" s="855">
        <f>IF(ISNUMBER(
   IF(J_V="SI",(Datos!K13-Datos!U13)/Datos!U13,(Datos!K13+Datos!AA13-(Datos!U13+Datos!AI13))/(Datos!U13+Datos!AI13))
     ),IF(J_V="SI",(Datos!K13-Datos!U13)/Datos!U13,(Datos!K13+Datos!AA13-(Datos!U13+Datos!AI13))/(Datos!U13+Datos!AI13))," - ")</f>
        <v>-0.32380952380952382</v>
      </c>
      <c r="E13" s="855">
        <f>IF(ISNUMBER(
   IF(J_V="SI",(Datos!L13-Datos!V13)/Datos!V13,(Datos!L13+Datos!AB13-(Datos!V13+Datos!AJ13))/(Datos!V13+Datos!AJ13))
     ),IF(J_V="SI",(Datos!L13-Datos!V13)/Datos!V13,(Datos!L13+Datos!AB13-(Datos!V13+Datos!AJ13))/(Datos!V13+Datos!AJ13))," - ")</f>
        <v>1.7142857142857144E-2</v>
      </c>
      <c r="F13" s="856">
        <f>IF(ISNUMBER((Datos!M13-Datos!W13)/Datos!W13),(Datos!M13-Datos!W13)/Datos!W13," - ")</f>
        <v>-3.2967032967032968E-2</v>
      </c>
      <c r="G13" s="857">
        <f>IF(ISNUMBER((Datos!N13-Datos!X13)/Datos!X13),(Datos!N13-Datos!X13)/Datos!X13," - ")</f>
        <v>-0.4017857142857143</v>
      </c>
      <c r="H13" s="857">
        <f>IF(ISNUMBER(((NºAsuntos!G13/NºAsuntos!E13)-Datos!BD13)/Datos!BD13),((NºAsuntos!G13/NºAsuntos!E13)-Datos!BD13)/Datos!BD13," - ")</f>
        <v>-6.2058371735791006E-2</v>
      </c>
      <c r="I13" s="857">
        <f>IF(ISNUMBER(((NºAsuntos!I13/NºAsuntos!G13)-Datos!BE13)/Datos!BE13),((NºAsuntos!I13/NºAsuntos!G13)-Datos!BE13)/Datos!BE13," - ")</f>
        <v>0.50422535211267627</v>
      </c>
      <c r="J13" s="857">
        <f>IF(ISNUMBER((('Resol  Asuntos'!D13/NºAsuntos!G13)-Datos!BF13)/Datos!BF13),(('Resol  Asuntos'!D13/NºAsuntos!G13)-Datos!BF13)/Datos!BF13," - ")</f>
        <v>7.5544174135723424E-2</v>
      </c>
      <c r="K13" s="857">
        <f>IF(ISNUMBER((((NºAsuntos!C13+NºAsuntos!E13)/NºAsuntos!G13)-Datos!BG13)/Datos!BG13),(((NºAsuntos!C13+NºAsuntos!E13)/NºAsuntos!G13)-Datos!BG13)/Datos!BG13," - ")</f>
        <v>0.37075393537696782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-0.33025404157043881</v>
      </c>
      <c r="C16" s="456">
        <f>IF(ISNUMBER(
   IF(D_I="SI",(Datos!J16-Datos!T16)/Datos!T16,(Datos!J16+Datos!AD16-(Datos!T16+Datos!AL16))/(Datos!T16+Datos!AL16))
     ),IF(D_I="SI",(Datos!J16-Datos!T16)/Datos!T16,(Datos!J16+Datos!AD16-(Datos!T16+Datos!AL16))/(Datos!T16+Datos!AL16))," - ")</f>
        <v>-0.37323943661971831</v>
      </c>
      <c r="D16" s="456">
        <f>IF(ISNUMBER(
   IF(D_I="SI",(Datos!K16-Datos!U16)/Datos!U16,(Datos!K16+Datos!AE16-(Datos!U16+Datos!AM16))/(Datos!U16+Datos!AM16))
     ),IF(D_I="SI",(Datos!K16-Datos!U16)/Datos!U16,(Datos!K16+Datos!AE16-(Datos!U16+Datos!AM16))/(Datos!U16+Datos!AM16))," - ")</f>
        <v>-0.53032928942807622</v>
      </c>
      <c r="E16" s="456">
        <f>IF(ISNUMBER(
   IF(D_I="SI",(Datos!L16-Datos!V16)/Datos!V16,(Datos!L16+Datos!AF16-(Datos!V16+Datos!AN16))/(Datos!V16+Datos!AN16))
     ),IF(D_I="SI",(Datos!L16-Datos!V16)/Datos!V16,(Datos!L16+Datos!AF16-(Datos!V16+Datos!AN16))/(Datos!V16+Datos!AN16))," - ")</f>
        <v>-0.22403733955659277</v>
      </c>
      <c r="F16" s="456">
        <f>IF(ISNUMBER((Datos!M16-Datos!W16)/Datos!W16),(Datos!M16-Datos!W16)/Datos!W16," - ")</f>
        <v>-0.38028169014084506</v>
      </c>
      <c r="G16" s="457">
        <f>IF(ISNUMBER((Datos!N16-Datos!X16)/Datos!X16),(Datos!N16-Datos!X16)/Datos!X16," - ")</f>
        <v>-0.51388888888888884</v>
      </c>
      <c r="H16" s="455">
        <f>IF(ISNUMBER(((NºAsuntos!G16/NºAsuntos!E16)-Datos!BD16)/Datos!BD16),((NºAsuntos!G16/NºAsuntos!E16)-Datos!BD16)/Datos!BD16," - ")</f>
        <v>-0.25063774268299804</v>
      </c>
      <c r="I16" s="456">
        <f>IF(ISNUMBER(((NºAsuntos!I16/NºAsuntos!G16)-Datos!BE16)/Datos!BE16),((NºAsuntos!I16/NºAsuntos!G16)-Datos!BE16)/Datos!BE16," - ")</f>
        <v>0.65214190064887811</v>
      </c>
      <c r="J16" s="461">
        <f>IF(ISNUMBER((('Resol  Asuntos'!D16/NºAsuntos!G16)-Datos!BF16)/Datos!BF16),(('Resol  Asuntos'!D16/NºAsuntos!G16)-Datos!BF16)/Datos!BF16," - ")</f>
        <v>0.31947403981082056</v>
      </c>
      <c r="K16" s="462">
        <f>IF(ISNUMBER((((NºAsuntos!C16+NºAsuntos!E16)/NºAsuntos!G16)-Datos!BG16)/Datos!BG16),(((NºAsuntos!C16+NºAsuntos!E16)/NºAsuntos!G16)-Datos!BG16)/Datos!BG16," - ")</f>
        <v>0.38973891830968516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-0.1206896551724138</v>
      </c>
      <c r="C17" s="456">
        <f>IF(ISNUMBER(
   IF(D_I="SI",(Datos!J17-Datos!T17)/Datos!T17,(Datos!J17+Datos!AD17-(Datos!T17+Datos!AL17))/(Datos!T17+Datos!AL17))
     ),IF(D_I="SI",(Datos!J17-Datos!T17)/Datos!T17,(Datos!J17+Datos!AD17-(Datos!T17+Datos!AL17))/(Datos!T17+Datos!AL17))," - ")</f>
        <v>-0.68421052631578949</v>
      </c>
      <c r="D17" s="456">
        <f>IF(ISNUMBER(
   IF(D_I="SI",(Datos!K17-Datos!U17)/Datos!U17,(Datos!K17+Datos!AE17-(Datos!U17+Datos!AM17))/(Datos!U17+Datos!AM17))
     ),IF(D_I="SI",(Datos!K17-Datos!U17)/Datos!U17,(Datos!K17+Datos!AE17-(Datos!U17+Datos!AM17))/(Datos!U17+Datos!AM17))," - ")</f>
        <v>-0.55000000000000004</v>
      </c>
      <c r="E17" s="456">
        <f>IF(ISNUMBER(
   IF(D_I="SI",(Datos!L17-Datos!V17)/Datos!V17,(Datos!L17+Datos!AF17-(Datos!V17+Datos!AN17))/(Datos!V17+Datos!AN17))
     ),IF(D_I="SI",(Datos!L17-Datos!V17)/Datos!V17,(Datos!L17+Datos!AF17-(Datos!V17+Datos!AN17))/(Datos!V17+Datos!AN17))," - ")</f>
        <v>-0.19642857142857142</v>
      </c>
      <c r="F17" s="456">
        <f>IF(ISNUMBER((Datos!M17-Datos!W17)/Datos!W17),(Datos!M17-Datos!W17)/Datos!W17," - ")</f>
        <v>-0.78260869565217395</v>
      </c>
      <c r="G17" s="457">
        <f>IF(ISNUMBER((Datos!N17-Datos!X17)/Datos!X17),(Datos!N17-Datos!X17)/Datos!X17," - ")</f>
        <v>-0.26666666666666666</v>
      </c>
      <c r="H17" s="455">
        <f>IF(ISNUMBER(((NºAsuntos!G17/NºAsuntos!E17)-Datos!BD17)/Datos!BD17),((NºAsuntos!G17/NºAsuntos!E17)-Datos!BD17)/Datos!BD17," - ")</f>
        <v>0.4250000000000001</v>
      </c>
      <c r="I17" s="456">
        <f>IF(ISNUMBER(((NºAsuntos!I17/NºAsuntos!G17)-Datos!BE17)/Datos!BE17),((NºAsuntos!I17/NºAsuntos!G17)-Datos!BE17)/Datos!BE17," - ")</f>
        <v>0.78571428571428581</v>
      </c>
      <c r="J17" s="461">
        <f>IF(ISNUMBER((('Resol  Asuntos'!D17/NºAsuntos!G17)-Datos!BF17)/Datos!BF17),(('Resol  Asuntos'!D17/NºAsuntos!G17)-Datos!BF17)/Datos!BF17," - ")</f>
        <v>-0.51690821256038644</v>
      </c>
      <c r="K17" s="462">
        <f>IF(ISNUMBER((((NºAsuntos!C17+NºAsuntos!E17)/NºAsuntos!G17)-Datos!BG17)/Datos!BG17),(((NºAsuntos!C17+NºAsuntos!E17)/NºAsuntos!G17)-Datos!BG17)/Datos!BG17," - ")</f>
        <v>0.45833333333333337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-0.3170995670995671</v>
      </c>
      <c r="C18" s="855">
        <f>IF(ISNUMBER(
   IF(Criterios!B14="SI",(Datos!J18-Datos!T18)/Datos!T18,(Datos!J18+Datos!AD18-(Datos!T18+Datos!AL18))/(Datos!T18+Datos!AL18))
     ),IF(Criterios!B14="SI",(Datos!J18-Datos!T18)/Datos!T18,(Datos!J18+Datos!AD18-(Datos!T18+Datos!AL18))/(Datos!T18+Datos!AL18))," - ")</f>
        <v>-0.39273927392739272</v>
      </c>
      <c r="D18" s="855">
        <f>IF(ISNUMBER(
   IF(Criterios!B14="SI",(Datos!K18-Datos!U18)/Datos!U18,(Datos!K18+Datos!AE18-(Datos!U18+Datos!AM18))/(Datos!U18+Datos!AM18))
     ),IF(Criterios!B14="SI",(Datos!K18-Datos!U18)/Datos!U18,(Datos!K18+Datos!AE18-(Datos!U18+Datos!AM18))/(Datos!U18+Datos!AM18))," - ")</f>
        <v>-0.53160453808752028</v>
      </c>
      <c r="E18" s="855">
        <f>IF(ISNUMBER(
   IF(Criterios!B14="SI",(Datos!L18-Datos!V18)/Datos!V18,(Datos!L18+Datos!AF18-(Datos!V18+Datos!AN18))/(Datos!V18+Datos!AN18))
     ),IF(Criterios!B14="SI",(Datos!L18-Datos!V18)/Datos!V18,(Datos!L18+Datos!AF18-(Datos!V18+Datos!AN18))/(Datos!V18+Datos!AN18))," - ")</f>
        <v>-0.22234392113910187</v>
      </c>
      <c r="F18" s="856">
        <f>IF(ISNUMBER((Datos!M18-Datos!W18)/Datos!W18),(Datos!M18-Datos!W18)/Datos!W18," - ")</f>
        <v>-0.47872340425531917</v>
      </c>
      <c r="G18" s="857">
        <f>IF(ISNUMBER((Datos!N18-Datos!X18)/Datos!X18),(Datos!N18-Datos!X18)/Datos!X18," - ")</f>
        <v>-0.50559284116331094</v>
      </c>
      <c r="H18" s="857">
        <f>IF(ISNUMBER(((NºAsuntos!G18/NºAsuntos!E18)-Datos!BD18)/Datos!BD18),((NºAsuntos!G18/NºAsuntos!E18)-Datos!BD18)/Datos!BD18," - ")</f>
        <v>-0.22867486435064474</v>
      </c>
      <c r="I18" s="857">
        <f>IF(ISNUMBER(((NºAsuntos!I18/NºAsuntos!G18)-Datos!BE18)/Datos!BE18),((NºAsuntos!I18/NºAsuntos!G18)-Datos!BE18)/Datos!BE18," - ")</f>
        <v>0.66025536559575815</v>
      </c>
      <c r="J18" s="857">
        <f>IF(ISNUMBER((('Resol  Asuntos'!D18/NºAsuntos!G18)-Datos!BF18)/Datos!BF18),(('Resol  Asuntos'!D18/NºAsuntos!G18)-Datos!BF18)/Datos!BF18," - ")</f>
        <v>0.11289847603622163</v>
      </c>
      <c r="K18" s="857">
        <f>IF(ISNUMBER((((NºAsuntos!C18+NºAsuntos!E18)/NºAsuntos!G18)-Datos!BG18)/Datos!BG18),(((NºAsuntos!C18+NºAsuntos!E18)/NºAsuntos!G18)-Datos!BG18)/Datos!BG18," - ")</f>
        <v>0.39399552208426614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-0.15439429928741091</v>
      </c>
      <c r="C19" s="802">
        <f>IF(ISNUMBER(
   IF(J_V="SI",(Datos!J19-Datos!T19)/Datos!T19,(Datos!J19+Datos!Z19-(Datos!T19+Datos!AH19))/(Datos!T19+Datos!AH19))
     ),IF(J_V="SI",(Datos!J19-Datos!T19)/Datos!T19,(Datos!J19+Datos!Z19-(Datos!T19+Datos!AH19))/(Datos!T19+Datos!AH19))," - ")</f>
        <v>-0.34555984555984554</v>
      </c>
      <c r="D19" s="802">
        <f>IF(ISNUMBER(
   IF(J_V="SI",(Datos!K19-Datos!U19)/Datos!U19,(Datos!K19+Datos!AA19-(Datos!U19+Datos!AI19))/(Datos!U19+Datos!AI19))
     ),IF(J_V="SI",(Datos!K19-Datos!U19)/Datos!U19,(Datos!K19+Datos!AA19-(Datos!U19+Datos!AI19))/(Datos!U19+Datos!AI19))," - ")</f>
        <v>-0.46137339055793991</v>
      </c>
      <c r="E19" s="802">
        <f>IF(ISNUMBER(
   IF(J_V="SI",(Datos!L19-Datos!V19)/Datos!V19,(Datos!L19+Datos!AB19-(Datos!V19+Datos!AJ19))/(Datos!V19+Datos!AJ19))
     ),IF(J_V="SI",(Datos!L19-Datos!V19)/Datos!V19,(Datos!L19+Datos!AB19-(Datos!V19+Datos!AJ19))/(Datos!V19+Datos!AJ19))," - ")</f>
        <v>-0.10514541387024609</v>
      </c>
      <c r="F19" s="803">
        <f>IF(ISNUMBER((Datos!M19-Datos!W19)/Datos!W19),(Datos!M19-Datos!W19)/Datos!W19," - ")</f>
        <v>-0.25945945945945947</v>
      </c>
      <c r="G19" s="804">
        <f>IF(ISNUMBER((Datos!N19-Datos!X19)/Datos!X19),(Datos!N19-Datos!X19)/Datos!X19," - ")</f>
        <v>-0.48479427549194992</v>
      </c>
      <c r="H19" s="805">
        <f>IF(ISNUMBER((Tasas!B19-Datos!BD19)/Datos!BD19),(Tasas!B19-Datos!BD19)/Datos!BD19," - ")</f>
        <v>-0.17696582982009695</v>
      </c>
      <c r="I19" s="806">
        <f>IF(ISNUMBER((Tasas!C19-Datos!BE19)/Datos!BE19),(Tasas!C19-Datos!BE19)/Datos!BE19," - ")</f>
        <v>0.66136349456759091</v>
      </c>
      <c r="J19" s="807">
        <f>IF(ISNUMBER((Tasas!D19-Datos!BF19)/Datos!BF19),(Tasas!D19-Datos!BF19)/Datos!BF19," - ")</f>
        <v>0.18302603539331039</v>
      </c>
      <c r="K19" s="807">
        <f>IF(ISNUMBER((Tasas!E19-Datos!BG19)/Datos!BG19),(Tasas!E19-Datos!BG19)/Datos!BG19," - ")</f>
        <v>0.43474923834075463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yE7mxWRpdBnMHdL9bgnjIrdjqEPfIMK6o/z/Lz4fxBlFknb6QxC4UH6hYamgNkwQDUBqYXFO1dV4q9PpVm8fQ==" saltValue="h3NpsZLIj45udNYpalsZ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ALCALA LA REAL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0.69607843137254899</v>
      </c>
      <c r="C12" s="443">
        <f>IF(ISNUMBER(NºAsuntos!I12/NºAsuntos!G12),NºAsuntos!I12/NºAsuntos!G12," - ")</f>
        <v>3.9389671361502345</v>
      </c>
      <c r="D12" s="444">
        <f>IF(ISNUMBER('Resol  Asuntos'!D12/NºAsuntos!G12),'Resol  Asuntos'!D12/NºAsuntos!G12," - ")</f>
        <v>0.41314553990610331</v>
      </c>
      <c r="E12" s="445">
        <f>IF(ISNUMBER((NºAsuntos!C12+NºAsuntos!E12)/NºAsuntos!G12),(NºAsuntos!C12+NºAsuntos!E12)/NºAsuntos!G12," - ")</f>
        <v>4.938967136150235</v>
      </c>
      <c r="G12" s="463"/>
    </row>
    <row r="13" spans="1:7" ht="14.25" thickTop="1" thickBot="1">
      <c r="A13" s="848" t="str">
        <f>Datos!A13</f>
        <v>TOTAL</v>
      </c>
      <c r="B13" s="858">
        <f>IF(ISNUMBER(NºAsuntos!G13/NºAsuntos!E13),NºAsuntos!G13/NºAsuntos!E13," - ")</f>
        <v>0.68709677419354842</v>
      </c>
      <c r="C13" s="859">
        <f>IF(ISNUMBER(NºAsuntos!I13/NºAsuntos!G13),NºAsuntos!I13/NºAsuntos!G13," - ")</f>
        <v>4.178403755868545</v>
      </c>
      <c r="D13" s="860">
        <f>IF(ISNUMBER('Resol  Asuntos'!D13/NºAsuntos!G13),'Resol  Asuntos'!D13/NºAsuntos!G13," - ")</f>
        <v>0.41314553990610331</v>
      </c>
      <c r="E13" s="861">
        <f>IF(ISNUMBER((NºAsuntos!C13+NºAsuntos!E13)/NºAsuntos!G13),(NºAsuntos!C13+NºAsuntos!E13)/NºAsuntos!G13," - ")</f>
        <v>5.178403755868545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0.7612359550561798</v>
      </c>
      <c r="C16" s="443">
        <f>IF(ISNUMBER(NºAsuntos!I16/NºAsuntos!G16),NºAsuntos!I16/NºAsuntos!G16," - ")</f>
        <v>2.4538745387453873</v>
      </c>
      <c r="D16" s="444">
        <f>IF(ISNUMBER('Resol  Asuntos'!D16/NºAsuntos!G16),'Resol  Asuntos'!D16/NºAsuntos!G16," - ")</f>
        <v>0.16236162361623616</v>
      </c>
      <c r="E16" s="445">
        <f>IF(ISNUMBER((NºAsuntos!C16+NºAsuntos!E16)/NºAsuntos!G16),(NºAsuntos!C16+NºAsuntos!E16)/NºAsuntos!G16," - ")</f>
        <v>3.4538745387453873</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2.5</v>
      </c>
      <c r="D17" s="444">
        <f>IF(ISNUMBER('Resol  Asuntos'!D17/NºAsuntos!G17),'Resol  Asuntos'!D17/NºAsuntos!G17," - ")</f>
        <v>0.27777777777777779</v>
      </c>
      <c r="E17" s="445">
        <f>IF(ISNUMBER((NºAsuntos!C17+NºAsuntos!E17)/NºAsuntos!G17),(NºAsuntos!C17+NºAsuntos!E17)/NºAsuntos!G17," - ")</f>
        <v>3.5</v>
      </c>
      <c r="G17" s="463"/>
    </row>
    <row r="18" spans="1:7" ht="14.25" thickTop="1" thickBot="1">
      <c r="A18" s="848" t="str">
        <f>Datos!A18</f>
        <v>TOTAL</v>
      </c>
      <c r="B18" s="858">
        <f>IF(ISNUMBER(NºAsuntos!G18/NºAsuntos!E18),NºAsuntos!G18/NºAsuntos!E18," - ")</f>
        <v>0.78532608695652173</v>
      </c>
      <c r="C18" s="859">
        <f>IF(ISNUMBER(NºAsuntos!I18/NºAsuntos!G18),NºAsuntos!I18/NºAsuntos!G18," - ")</f>
        <v>2.4567474048442905</v>
      </c>
      <c r="D18" s="862">
        <f>IF(ISNUMBER('Resol  Asuntos'!D18/NºAsuntos!G18),'Resol  Asuntos'!D18/NºAsuntos!G18," - ")</f>
        <v>0.16955017301038061</v>
      </c>
      <c r="E18" s="861">
        <f>IF(ISNUMBER((NºAsuntos!C18+NºAsuntos!E18)/NºAsuntos!G18),(NºAsuntos!C18+NºAsuntos!E18)/NºAsuntos!G18," - ")</f>
        <v>3.4567474048442905</v>
      </c>
      <c r="G18" s="463"/>
    </row>
    <row r="19" spans="1:7" ht="15.75" customHeight="1" thickTop="1" thickBot="1">
      <c r="A19" s="793" t="str">
        <f>Datos!A19</f>
        <v>TOTAL JURISDICCIONES</v>
      </c>
      <c r="B19" s="808">
        <f>IF(ISNUMBER(NºAsuntos!G19/NºAsuntos!E19),NºAsuntos!G19/NºAsuntos!E19," - ")</f>
        <v>0.74041297935103245</v>
      </c>
      <c r="C19" s="809">
        <f>IF(ISNUMBER(NºAsuntos!I19/NºAsuntos!G19),NºAsuntos!I19/NºAsuntos!G19," - ")</f>
        <v>3.1872509960159361</v>
      </c>
      <c r="D19" s="810">
        <f>IF(ISNUMBER('Resol  Asuntos'!D19/NºAsuntos!G19),'Resol  Asuntos'!D19/NºAsuntos!G19," - ")</f>
        <v>0.27290836653386452</v>
      </c>
      <c r="E19" s="811">
        <f>IF(ISNUMBER((NºAsuntos!C19+NºAsuntos!E19)/NºAsuntos!G19),(NºAsuntos!C19+NºAsuntos!E19)/NºAsuntos!G19," - ")</f>
        <v>4.1872509960159361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yD7BLWtOMGnRmz+Th3KoL0xR35vAoJTBhIV7j9UjUGOMofo0szvbD91BtTZH77gwEQEH3C2yl86Eyyk/GxozA==" saltValue="oQqx/nkJuMq33fn9J5qJ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ALCALA LA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51</v>
      </c>
      <c r="AB10" s="334">
        <f>IF(ISNUMBER(Datos!R10),Datos!R10," - ")</f>
        <v>9</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0.69607843137254899</v>
      </c>
      <c r="AM12" s="260">
        <f>IF(ISNUMBER(((NºAsuntos!I12/NºAsuntos!G12)*11)/factor_trimestre),((NºAsuntos!I12/NºAsuntos!G12)*11)/factor_trimestre," - ")</f>
        <v>11.816901408450704</v>
      </c>
      <c r="AN12" s="244">
        <f>IF(ISNUMBER('Resol  Asuntos'!D12/NºAsuntos!G12),'Resol  Asuntos'!D12/NºAsuntos!G12," - ")</f>
        <v>0.41314553990610331</v>
      </c>
      <c r="AO12" s="245">
        <f>IF(ISNUMBER((NºAsuntos!C12+NºAsuntos!E12)/NºAsuntos!G12),(NºAsuntos!C12+NºAsuntos!E12)/NºAsuntos!G12," - ")</f>
        <v>4.938967136150235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47</v>
      </c>
      <c r="G13" s="866">
        <f t="shared" si="3"/>
        <v>47</v>
      </c>
      <c r="H13" s="865">
        <f t="shared" si="3"/>
        <v>0</v>
      </c>
      <c r="I13" s="867">
        <f t="shared" si="3"/>
        <v>0</v>
      </c>
      <c r="J13" s="867">
        <f t="shared" si="3"/>
        <v>0</v>
      </c>
      <c r="K13" s="867">
        <f t="shared" si="3"/>
        <v>0</v>
      </c>
      <c r="L13" s="867">
        <f t="shared" si="3"/>
        <v>124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51</v>
      </c>
      <c r="AB13" s="868">
        <f t="shared" si="4"/>
        <v>1202</v>
      </c>
      <c r="AC13" s="868">
        <f t="shared" si="4"/>
        <v>60</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0.68709677419354842</v>
      </c>
      <c r="AM13" s="874">
        <f>IF(ISNUMBER(((NºAsuntos!I13/NºAsuntos!G13)*11)/factor_trimestre),((NºAsuntos!I13/NºAsuntos!G13)*11)/factor_trimestre," - ")</f>
        <v>12.535211267605634</v>
      </c>
      <c r="AN13" s="875">
        <f>IF(ISNUMBER('Resol  Asuntos'!D13/NºAsuntos!G13),'Resol  Asuntos'!D13/NºAsuntos!G13," - ")</f>
        <v>0.41314553990610331</v>
      </c>
      <c r="AO13" s="876">
        <f>IF(ISNUMBER((NºAsuntos!C13+NºAsuntos!E13)/NºAsuntos!G13),(NºAsuntos!C13+NºAsuntos!E13)/NºAsuntos!G13," - ")</f>
        <v>5.178403755868545</v>
      </c>
      <c r="AP13" s="877" t="str">
        <f t="shared" si="2"/>
        <v xml:space="preserve"> - </v>
      </c>
      <c r="AQ13" s="877">
        <f>IF(ISNUMBER((H13-W13+K13)/(F13)),(H13-W13+K13)/(F13)," - ")</f>
        <v>0</v>
      </c>
      <c r="AR13" s="878">
        <f>IF(ISNUMBER((Datos!P13-Datos!Q13)/(Datos!R13-Datos!P13+Datos!Q13)),(Datos!P13-Datos!Q13)/(Datos!R13-Datos!P13+Datos!Q13)," - ")</f>
        <v>0.10885608856088561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580</v>
      </c>
      <c r="G16" s="333">
        <f>IF(ISNUMBER(IF(D_I="SI",Datos!I16,Datos!I16+Datos!AC16)),IF(D_I="SI",Datos!I16,Datos!I16+Datos!AC16)," - ")</f>
        <v>580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271</v>
      </c>
      <c r="X16" s="226">
        <f>IF(ISNUMBER(Datos!Q16),Datos!Q16," - ")</f>
        <v>4</v>
      </c>
      <c r="Y16" s="334">
        <f t="shared" ref="Y16:Y17" si="7">SUM(W16:X16)</f>
        <v>275</v>
      </c>
      <c r="Z16" s="335" t="str">
        <f>IF(ISNUMBER(Datos!CC16),Datos!CC16," - ")</f>
        <v xml:space="preserve"> - </v>
      </c>
      <c r="AA16" s="332">
        <f>IF(ISNUMBER(IF(D_I="SI",Datos!L16,Datos!L16+Datos!AF16)),IF(D_I="SI",Datos!L16,Datos!L16+Datos!AF16)," - ")</f>
        <v>665</v>
      </c>
      <c r="AB16" s="334">
        <f>IF(ISNUMBER(Datos!R16),Datos!R16," - ")</f>
        <v>96</v>
      </c>
      <c r="AC16" s="334">
        <f t="shared" si="6"/>
        <v>761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0.7612359550561798</v>
      </c>
      <c r="AM16" s="260">
        <f>IF(ISNUMBER(((NºAsuntos!I16/NºAsuntos!G16)*11)/factor_trimestre),((NºAsuntos!I16/NºAsuntos!G16)*11)/factor_trimestre," - ")</f>
        <v>7.3616236162361623</v>
      </c>
      <c r="AN16" s="244">
        <f>IF(ISNUMBER('Resol  Asuntos'!D16/NºAsuntos!G16),'Resol  Asuntos'!D16/NºAsuntos!G16," - ")</f>
        <v>0.16236162361623616</v>
      </c>
      <c r="AO16" s="245">
        <f>IF(ISNUMBER((NºAsuntos!C16+NºAsuntos!E16)/NºAsuntos!G16),(NºAsuntos!C16+NºAsuntos!E16)/NºAsuntos!G16," - ")</f>
        <v>3.4538745387453873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45</v>
      </c>
      <c r="AB17" s="334">
        <f>IF(ISNUMBER(Datos!R17),Datos!R17," - ")</f>
        <v>0</v>
      </c>
      <c r="AC17" s="334">
        <f t="shared" si="6"/>
        <v>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7.5</v>
      </c>
      <c r="AN17" s="244">
        <f>IF(ISNUMBER('Resol  Asuntos'!D17/NºAsuntos!G17),'Resol  Asuntos'!D17/NºAsuntos!G17," - ")</f>
        <v>0.27777777777777779</v>
      </c>
      <c r="AO17" s="245">
        <f>IF(ISNUMBER((NºAsuntos!C17+NºAsuntos!E17)/NºAsuntos!G17),(NºAsuntos!C17+NºAsuntos!E17)/NºAsuntos!G17," - ")</f>
        <v>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580</v>
      </c>
      <c r="G18" s="866">
        <f>SUBTOTAL(9,G15:G17)</f>
        <v>631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289</v>
      </c>
      <c r="X18" s="867">
        <f t="shared" si="11"/>
        <v>4</v>
      </c>
      <c r="Y18" s="868">
        <f t="shared" si="11"/>
        <v>293</v>
      </c>
      <c r="Z18" s="868">
        <f t="shared" si="11"/>
        <v>0</v>
      </c>
      <c r="AA18" s="868">
        <f t="shared" si="11"/>
        <v>710</v>
      </c>
      <c r="AB18" s="868">
        <f t="shared" si="11"/>
        <v>96</v>
      </c>
      <c r="AC18" s="868">
        <f t="shared" si="11"/>
        <v>806</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0.78532608695652173</v>
      </c>
      <c r="AM18" s="874">
        <f>IF(ISNUMBER(((NºAsuntos!I18/NºAsuntos!G18)*11)/factor_trimestre),((NºAsuntos!I18/NºAsuntos!G18)*11)/factor_trimestre," - ")</f>
        <v>7.3702422145328725</v>
      </c>
      <c r="AN18" s="875">
        <f>IF(ISNUMBER('Resol  Asuntos'!D18/NºAsuntos!G18),'Resol  Asuntos'!D18/NºAsuntos!G18," - ")</f>
        <v>0.16955017301038061</v>
      </c>
      <c r="AO18" s="876">
        <f>IF(ISNUMBER((NºAsuntos!C18+NºAsuntos!E18)/NºAsuntos!G18),(NºAsuntos!C18+NºAsuntos!E18)/NºAsuntos!G18," - ")</f>
        <v>3.4567474048442905</v>
      </c>
      <c r="AP18" s="877" t="str">
        <f t="shared" si="2"/>
        <v xml:space="preserve"> - </v>
      </c>
      <c r="AQ18" s="877">
        <f>IF(ISNUMBER((H18-W18+K18)/(F18)),(H18-W18+K18)/(F18)," - ")</f>
        <v>-0.49827586206896551</v>
      </c>
      <c r="AR18" s="878">
        <f>IF(ISNUMBER((Datos!P18-Datos!Q18)/(Datos!R18-Datos!P18+Datos!Q18)),(Datos!P18-Datos!Q18)/(Datos!R18-Datos!P18+Datos!Q18)," - ")</f>
        <v>0.11627906976744186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627</v>
      </c>
      <c r="G19" s="821">
        <f t="shared" si="13"/>
        <v>678</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289</v>
      </c>
      <c r="X19" s="821">
        <f t="shared" si="14"/>
        <v>10</v>
      </c>
      <c r="Y19" s="828">
        <f t="shared" si="14"/>
        <v>299</v>
      </c>
      <c r="Z19" s="828">
        <f t="shared" si="14"/>
        <v>0</v>
      </c>
      <c r="AA19" s="828">
        <f t="shared" si="14"/>
        <v>761</v>
      </c>
      <c r="AB19" s="828">
        <f t="shared" si="14"/>
        <v>1298</v>
      </c>
      <c r="AC19" s="828">
        <f t="shared" si="14"/>
        <v>866</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0.74041297935103245</v>
      </c>
      <c r="AM19" s="885">
        <f>IF(ISNUMBER(((NºAsuntos!I19/NºAsuntos!G19)*11)/factor_trimestre),((NºAsuntos!I19/NºAsuntos!G19)*11)/factor_trimestre," - ")</f>
        <v>9.5617529880478092</v>
      </c>
      <c r="AN19" s="885">
        <f>IF(ISNUMBER('Resol  Asuntos'!D19/NºAsuntos!G19),'Resol  Asuntos'!D19/NºAsuntos!G19," - ")</f>
        <v>0.27290836653386452</v>
      </c>
      <c r="AO19" s="886">
        <f>IF(ISNUMBER((NºAsuntos!C19+NºAsuntos!E19)/NºAsuntos!G19),(NºAsuntos!C19+NºAsuntos!E19)/NºAsuntos!G19," - ")</f>
        <v>4.1872509960159361</v>
      </c>
      <c r="AP19" s="887" t="str">
        <f t="shared" si="2"/>
        <v xml:space="preserve"> - </v>
      </c>
      <c r="AQ19" s="888">
        <f>IF(OR(ISNUMBER(FIND("01",Criterios!A8,1)),ISNUMBER(FIND("02",Criterios!A8,1)),ISNUMBER(FIND("03",Criterios!A8,1)),ISNUMBER(FIND("04",Criterios!A8,1))),(I19-W19+K19)/(F19-K19),(H19-W19+K19)/(F19-K19))</f>
        <v>-0.46092503987240829</v>
      </c>
      <c r="AR19" s="889">
        <f>IF(ISNUMBER((Datos!P19-Datos!Q19)/(Datos!R19-Datos!P19+Datos!Q19)),(Datos!P19-Datos!Q19)/(Datos!R19-Datos!P19+Datos!Q19)," - ")</f>
        <v>0.1094017094017094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307.72769347807053</v>
      </c>
      <c r="G21" s="253">
        <f>IF(ISNUMBER(STDEV(G8:G18)),STDEV(G8:G18),"-")</f>
        <v>305.70933907880539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150.39049172072015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38.307527545727439</v>
      </c>
      <c r="AJ21" s="252">
        <f t="shared" si="18"/>
        <v>0</v>
      </c>
      <c r="AK21" s="254">
        <f t="shared" si="18"/>
        <v>0</v>
      </c>
      <c r="AL21" s="249">
        <f t="shared" si="18"/>
        <v>0.47590245248849466</v>
      </c>
      <c r="AM21" s="250">
        <f t="shared" si="18"/>
        <v>2.623034611079611</v>
      </c>
      <c r="AN21" s="250">
        <f t="shared" si="18"/>
        <v>0.12373301726909279</v>
      </c>
      <c r="AO21" s="251">
        <f t="shared" si="18"/>
        <v>0.87434487035987296</v>
      </c>
      <c r="AP21" s="291" t="str">
        <f t="shared" si="18"/>
        <v>-</v>
      </c>
      <c r="AQ21" s="292">
        <f t="shared" si="18"/>
        <v>0.35233424097053834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6vAoLyEIQr/es8y7H9L38EyMlvVMDr3pUnPilrmzLtTSL5hjT26nhGyAfhEO85nX7Wy5J8Kw8EISQgSQpU69Q==" saltValue="xb0Hg5XcpPskLyg1+R9H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ALCALA LA REAL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0.80769230769230771</v>
      </c>
      <c r="E10" s="348">
        <f>IF(ISNUMBER((Datos!J10-Datos!T10)/Datos!T10),(Datos!J10-Datos!T10)/Datos!T10," - ")</f>
        <v>-0.77777777777777779</v>
      </c>
      <c r="F10" s="348">
        <f>IF(ISNUMBER((Datos!K10-Datos!U10)/Datos!U10),(Datos!K10-Datos!U10)/Datos!U10," - ")</f>
        <v>-1</v>
      </c>
      <c r="G10" s="349">
        <f>IF(ISNUMBER((Datos!L10-Datos!V10)/Datos!V10),(Datos!L10-Datos!V10)/Datos!V10," - ")</f>
        <v>0.45714285714285713</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7.3170731707317069E-2</v>
      </c>
      <c r="I12" s="350">
        <f>IF(ISNUMBER((Tasas!C12-Datos!BE12)/Datos!BE12),(Tasas!C12-Datos!BE12)/Datos!BE12," - ")</f>
        <v>0.43490945674044257</v>
      </c>
      <c r="J12" s="349">
        <f>IF(ISNUMBER((Tasas!D12-Datos!BF12)/Datos!BF12),(Tasas!D12-Datos!BF12)/Datos!BF12," - ")</f>
        <v>0.12877263581488949</v>
      </c>
      <c r="K12" s="351">
        <f>IF(ISNUMBER((Tasas!E12-Datos!BG12)/Datos!BG12),(Tasas!E12-Datos!BG12)/Datos!BG12," - ")</f>
        <v>0.31878180075215695</v>
      </c>
      <c r="M12" t="e">
        <f>IF(Monitorios="SI",Datos!CE12,0)</f>
        <v>#REF!</v>
      </c>
      <c r="N12" t="e">
        <f>IF(Monitorios="SI",Datos!CF12,0)</f>
        <v>#REF!</v>
      </c>
      <c r="O12" t="e">
        <f>IF(Monitorios="SI",Datos!CG12,0)</f>
        <v>#REF!</v>
      </c>
      <c r="P12" t="e">
        <f>IF(Monitorios="SI",Datos!CH12,0)</f>
        <v>#REF!</v>
      </c>
      <c r="Q12">
        <f>IF(J_V="SI",0,Datos!AG12)</f>
        <v>63</v>
      </c>
      <c r="R12">
        <f>IF(J_V="SI",0,Datos!AH12)</f>
        <v>54</v>
      </c>
      <c r="S12">
        <f>IF(J_V="SI",0,Datos!AI12)</f>
        <v>36</v>
      </c>
      <c r="T12">
        <f>IF(J_V="SI",0,Datos!AJ12)</f>
        <v>81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-3.2967032967032968E-2</v>
      </c>
      <c r="I13" s="357">
        <f>IF(ISNUMBER((Tasas!C13-Datos!BE13)/Datos!BE13),(Tasas!C13-Datos!BE13)/Datos!BE13," - ")</f>
        <v>0.50422535211267627</v>
      </c>
      <c r="J13" s="355">
        <f>IF(ISNUMBER((Tasas!D13-Datos!BF13)/Datos!BF13),(Tasas!D13-Datos!BF13)/Datos!BF13," - ")</f>
        <v>7.5544174135723424E-2</v>
      </c>
      <c r="K13" s="358">
        <f>IF(ISNUMBER((Tasas!E13-Datos!BG13)/Datos!BG13),(Tasas!E13-Datos!BG13)/Datos!BG13," - ")</f>
        <v>0.37075393537696782</v>
      </c>
      <c r="M13" t="e">
        <f>IF(Monitorios="SI",Datos!CE13,0)</f>
        <v>#REF!</v>
      </c>
      <c r="N13" t="e">
        <f>IF(Monitorios="SI",Datos!CF13,0)</f>
        <v>#REF!</v>
      </c>
      <c r="O13" t="e">
        <f>IF(Monitorios="SI",Datos!CG13,0)</f>
        <v>#REF!</v>
      </c>
      <c r="P13" t="e">
        <f>IF(Monitorios="SI",Datos!CH13,0)</f>
        <v>#REF!</v>
      </c>
      <c r="Q13">
        <f>IF(J_V="SI",0,Datos!AG13)</f>
        <v>63</v>
      </c>
      <c r="R13">
        <f>IF(J_V="SI",0,Datos!AH13)</f>
        <v>54</v>
      </c>
      <c r="S13">
        <f>IF(J_V="SI",0,Datos!AI13)</f>
        <v>36</v>
      </c>
      <c r="T13">
        <f>IF(J_V="SI",0,Datos!AJ13)</f>
        <v>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-0.33025404157043881</v>
      </c>
      <c r="E16" s="348">
        <f>IF(ISNUMBER(
   IF(D_I="SI",(Datos!J16-Datos!T16)/Datos!T16,(Datos!J16+Datos!AD16-(Datos!T16+Datos!AL16))/(Datos!T16+Datos!AL16))
     ),IF(D_I="SI",(Datos!J16-Datos!T16)/Datos!T16,(Datos!J16+Datos!AD16-(Datos!T16+Datos!AL16))/(Datos!T16+Datos!AL16))," - ")</f>
        <v>-0.37323943661971831</v>
      </c>
      <c r="F16" s="348">
        <f>IF(ISNUMBER(
   IF(D_I="SI",(Datos!K16-Datos!U16)/Datos!U16,(Datos!K16+Datos!AE16-(Datos!U16+Datos!AM16))/(Datos!U16+Datos!AM16))
     ),IF(D_I="SI",(Datos!K16-Datos!U16)/Datos!U16,(Datos!K16+Datos!AE16-(Datos!U16+Datos!AM16))/(Datos!U16+Datos!AM16))," - ")</f>
        <v>-0.53032928942807622</v>
      </c>
      <c r="G16" s="349">
        <f>IF(ISNUMBER(
   IF(D_I="SI",(Datos!L16-Datos!V16)/Datos!V16,(Datos!L16+Datos!AF16-(Datos!V16+Datos!AN16))/(Datos!V16+Datos!AN16))
     ),IF(D_I="SI",(Datos!L16-Datos!V16)/Datos!V16,(Datos!L16+Datos!AF16-(Datos!V16+Datos!AN16))/(Datos!V16+Datos!AN16))," - ")</f>
        <v>-0.22403733955659277</v>
      </c>
      <c r="H16" s="230">
        <f>IF(ISNUMBER((Datos!M16-Datos!W16)/Datos!W16),(Datos!M16-Datos!W16)/Datos!W16," - ")</f>
        <v>-0.38028169014084506</v>
      </c>
      <c r="I16" s="350">
        <f>IF(ISNUMBER((Tasas!C16-Datos!BE16)/Datos!BE16),(Tasas!C16-Datos!BE16)/Datos!BE16," - ")</f>
        <v>0.65214190064887811</v>
      </c>
      <c r="J16" s="349">
        <f>IF(ISNUMBER((Tasas!D16-Datos!BF16)/Datos!BF16),(Tasas!D16-Datos!BF16)/Datos!BF16," - ")</f>
        <v>0.31947403981082056</v>
      </c>
      <c r="K16" s="351">
        <f>IF(ISNUMBER((Tasas!E16-Datos!BG16)/Datos!BG16),(Tasas!E16-Datos!BG16)/Datos!BG16," - ")</f>
        <v>0.38973891830968516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-0.1206896551724138</v>
      </c>
      <c r="E17" s="348">
        <f>IF(ISNUMBER(
   IF(D_I="SI",(Datos!J17-Datos!T17)/Datos!T17,(Datos!J17+Datos!AD17-(Datos!T17+Datos!AL17))/(Datos!T17+Datos!AL17))
     ),IF(D_I="SI",(Datos!J17-Datos!T17)/Datos!T17,(Datos!J17+Datos!AD17-(Datos!T17+Datos!AL17))/(Datos!T17+Datos!AL17))," - ")</f>
        <v>-0.68421052631578949</v>
      </c>
      <c r="F17" s="348">
        <f>IF(ISNUMBER(
   IF(D_I="SI",(Datos!K17-Datos!U17)/Datos!U17,(Datos!K17+Datos!AE17-(Datos!U17+Datos!AM17))/(Datos!U17+Datos!AM17))
     ),IF(D_I="SI",(Datos!K17-Datos!U17)/Datos!U17,(Datos!K17+Datos!AE17-(Datos!U17+Datos!AM17))/(Datos!U17+Datos!AM17))," - ")</f>
        <v>-0.55000000000000004</v>
      </c>
      <c r="G17" s="349">
        <f>IF(ISNUMBER(
   IF(D_I="SI",(Datos!L17-Datos!V17)/Datos!V17,(Datos!L17+Datos!AF17-(Datos!V17+Datos!AN17))/(Datos!V17+Datos!AN17))
     ),IF(D_I="SI",(Datos!L17-Datos!V17)/Datos!V17,(Datos!L17+Datos!AF17-(Datos!V17+Datos!AN17))/(Datos!V17+Datos!AN17))," - ")</f>
        <v>-0.19642857142857142</v>
      </c>
      <c r="H17" s="230">
        <f>IF(ISNUMBER((Datos!M17-Datos!W17)/Datos!W17),(Datos!M17-Datos!W17)/Datos!W17," - ")</f>
        <v>-0.78260869565217395</v>
      </c>
      <c r="I17" s="350">
        <f>IF(ISNUMBER((Tasas!C17-Datos!BE17)/Datos!BE17),(Tasas!C17-Datos!BE17)/Datos!BE17," - ")</f>
        <v>0.78571428571428581</v>
      </c>
      <c r="J17" s="349">
        <f>IF(ISNUMBER((Tasas!D17-Datos!BF17)/Datos!BF17),(Tasas!D17-Datos!BF17)/Datos!BF17," - ")</f>
        <v>-0.51690821256038644</v>
      </c>
      <c r="K17" s="351">
        <f>IF(ISNUMBER((Tasas!E17-Datos!BG17)/Datos!BG17),(Tasas!E17-Datos!BG17)/Datos!BG17," - ")</f>
        <v>0.45833333333333337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-0.3170995670995671</v>
      </c>
      <c r="E18" s="354">
        <f>IF(ISNUMBER(
   IF(D_I="SI",(Datos!J18-Datos!T18)/Datos!T18,(Datos!J18+Datos!AD18-(Datos!T18+Datos!AL18))/(Datos!T18+Datos!AL18))
     ),IF(D_I="SI",(Datos!J18-Datos!T18)/Datos!T18,(Datos!J18+Datos!AD18-(Datos!T18+Datos!AL18))/(Datos!T18+Datos!AL18))," - ")</f>
        <v>-0.39273927392739272</v>
      </c>
      <c r="F18" s="354">
        <f>IF(ISNUMBER(
   IF(D_I="SI",(Datos!K18-Datos!U18)/Datos!U18,(Datos!K18+Datos!AE18-(Datos!U18+Datos!AM18))/(Datos!U18+Datos!AM18))
     ),IF(D_I="SI",(Datos!K18-Datos!U18)/Datos!U18,(Datos!K18+Datos!AE18-(Datos!U18+Datos!AM18))/(Datos!U18+Datos!AM18))," - ")</f>
        <v>-0.53160453808752028</v>
      </c>
      <c r="G18" s="355">
        <f>IF(ISNUMBER(
   IF(D_I="SI",(Datos!L18-Datos!V18)/Datos!V18,(Datos!L18+Datos!AF18-(Datos!V18+Datos!AN18))/(Datos!V18+Datos!AN18))
     ),IF(D_I="SI",(Datos!L18-Datos!V18)/Datos!V18,(Datos!L18+Datos!AF18-(Datos!V18+Datos!AN18))/(Datos!V18+Datos!AN18))," - ")</f>
        <v>-0.22234392113910187</v>
      </c>
      <c r="H18" s="356">
        <f>IF(ISNUMBER((Datos!M18-Datos!W18)/Datos!W18),(Datos!M18-Datos!W18)/Datos!W18," - ")</f>
        <v>-0.47872340425531917</v>
      </c>
      <c r="I18" s="357">
        <f>IF(ISNUMBER((Tasas!C18-Datos!BE18)/Datos!BE18),(Tasas!C18-Datos!BE18)/Datos!BE18," - ")</f>
        <v>0.66025536559575815</v>
      </c>
      <c r="J18" s="355">
        <f>IF(ISNUMBER((Tasas!D18-Datos!BF18)/Datos!BF18),(Tasas!D18-Datos!BF18)/Datos!BF18," - ")</f>
        <v>0.11289847603622163</v>
      </c>
      <c r="K18" s="358">
        <f>IF(ISNUMBER((Tasas!E18-Datos!BG18)/Datos!BG18),(Tasas!E18-Datos!BG18)/Datos!BG18," - ")</f>
        <v>0.39399552208426614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-0.15439429928741091</v>
      </c>
      <c r="E19" s="363">
        <f>IF(ISNUMBER(
   IF(J_V="SI",(Datos!J19-Datos!T19)/Datos!T19,(Datos!J19+Datos!Z19-(Datos!T19+Datos!AH19))/(Datos!T19+Datos!AH19))
     ),IF(J_V="SI",(Datos!J19-Datos!T19)/Datos!T19,(Datos!J19+Datos!Z19-(Datos!T19+Datos!AH19))/(Datos!T19+Datos!AH19))," - ")</f>
        <v>-0.34555984555984554</v>
      </c>
      <c r="F19" s="363">
        <f>IF(ISNUMBER(
   IF(J_V="SI",(Datos!K19-Datos!U19)/Datos!U19,(Datos!K19+Datos!AA19-(Datos!U19+Datos!AI19))/(Datos!U19+Datos!AI19))
     ),IF(J_V="SI",(Datos!K19-Datos!U19)/Datos!U19,(Datos!K19+Datos!AA19-(Datos!U19+Datos!AI19))/(Datos!U19+Datos!AI19))," - ")</f>
        <v>-0.46137339055793991</v>
      </c>
      <c r="G19" s="364">
        <f>IF(ISNUMBER(
   IF(J_V="SI",(Datos!L19-Datos!V19)/Datos!V19,(Datos!L19+Datos!AB19-(Datos!V19+Datos!AJ19))/(Datos!V19+Datos!AJ19))
     ),IF(J_V="SI",(Datos!L19-Datos!V19)/Datos!V19,(Datos!L19+Datos!AB19-(Datos!V19+Datos!AJ19))/(Datos!V19+Datos!AJ19))," - ")</f>
        <v>-0.10514541387024609</v>
      </c>
      <c r="H19" s="365">
        <f>IF(ISNUMBER((Datos!M19-Datos!W19)/Datos!W19),(Datos!M19-Datos!W19)/Datos!W19," - ")</f>
        <v>-0.25945945945945947</v>
      </c>
      <c r="I19" s="362">
        <f>IF(ISNUMBER((Tasas!C19-Datos!BE19)/Datos!BE19),(Tasas!C19-Datos!BE19)/Datos!BE19," - ")</f>
        <v>0.66136349456759091</v>
      </c>
      <c r="J19" s="363">
        <f>IF(ISNUMBER((Tasas!D19-Datos!BF19)/Datos!BF19),(Tasas!D19-Datos!BF19)/Datos!BF19," - ")</f>
        <v>0.18302603539331039</v>
      </c>
      <c r="K19" s="364">
        <f>IF(ISNUMBER((Tasas!E19-Datos!BG19)/Datos!BG19),(Tasas!E19-Datos!BG19)/Datos!BG19," - ")</f>
        <v>0.43474923834075463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0.54041950141525885</v>
      </c>
      <c r="E21" s="278">
        <f t="shared" si="1"/>
        <v>0.20467443715794434</v>
      </c>
      <c r="F21" s="278">
        <f t="shared" si="1"/>
        <v>0.23151886914494763</v>
      </c>
      <c r="G21" s="279">
        <f t="shared" si="1"/>
        <v>0.33594407664253906</v>
      </c>
      <c r="H21" s="285">
        <f t="shared" si="1"/>
        <v>0.41588900831750308</v>
      </c>
      <c r="I21" s="277">
        <f t="shared" si="1"/>
        <v>0.13873490474431041</v>
      </c>
      <c r="J21" s="278">
        <f t="shared" si="1"/>
        <v>0.31679000898845106</v>
      </c>
      <c r="K21" s="279">
        <f t="shared" si="1"/>
        <v>5.015035778157044E-2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GVlzwAfsLvK6e9JMg5DidFGZh/XFfLvDbjsPStNnzMJ9Sp+xqftDj0b6WHXD+3+NcogqSIi4kDlEnJ1EyAYTA==" saltValue="2GiWDKHF4DQPRVl7acR0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